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20376" windowHeight="11760" activeTab="1"/>
  </bookViews>
  <sheets>
    <sheet name="Attendees 9-2017" sheetId="1" r:id="rId1"/>
    <sheet name="Exhibitors 9-2017" sheetId="2" r:id="rId2"/>
  </sheets>
  <definedNames>
    <definedName name="_xlnm._FilterDatabase" localSheetId="0" hidden="1">'Attendees 9-2017'!$A$2:$N$506</definedName>
  </definedNames>
  <calcPr calcId="145621"/>
</workbook>
</file>

<file path=xl/calcChain.xml><?xml version="1.0" encoding="utf-8"?>
<calcChain xmlns="http://schemas.openxmlformats.org/spreadsheetml/2006/main">
  <c r="J469" i="1" l="1"/>
  <c r="J376" i="1" l="1"/>
  <c r="J323" i="1"/>
  <c r="J182" i="1" l="1"/>
  <c r="J52" i="1"/>
  <c r="J54" i="1"/>
  <c r="J16" i="1"/>
  <c r="J197" i="1"/>
  <c r="J88" i="1"/>
  <c r="J146" i="1"/>
  <c r="J252" i="1"/>
  <c r="J335" i="1"/>
  <c r="J141" i="1"/>
  <c r="J207" i="1"/>
  <c r="J283" i="1"/>
  <c r="J361" i="1"/>
  <c r="J176" i="1"/>
  <c r="J259" i="1"/>
  <c r="J462" i="1"/>
  <c r="J195" i="1"/>
  <c r="J425" i="1"/>
  <c r="J363" i="1"/>
  <c r="J545" i="1"/>
  <c r="J118" i="1" l="1"/>
  <c r="J138" i="1" l="1"/>
  <c r="J20" i="2" l="1"/>
  <c r="J28" i="2"/>
  <c r="J11" i="2"/>
  <c r="J19" i="2"/>
  <c r="J32" i="2"/>
  <c r="J57" i="2"/>
  <c r="J17" i="2"/>
  <c r="J2" i="2"/>
  <c r="J34" i="2"/>
  <c r="J51" i="2"/>
  <c r="J21" i="2"/>
  <c r="J13" i="2"/>
  <c r="J67" i="2"/>
  <c r="J23" i="2"/>
  <c r="J46" i="2"/>
  <c r="J45" i="2"/>
  <c r="J63" i="2"/>
  <c r="J16" i="2"/>
  <c r="J40" i="2"/>
  <c r="J30" i="2"/>
  <c r="J62" i="2"/>
  <c r="J36" i="2"/>
  <c r="J15" i="2"/>
  <c r="J52" i="2"/>
  <c r="J43" i="2"/>
  <c r="J56" i="2"/>
  <c r="J47" i="2"/>
  <c r="J49" i="2"/>
  <c r="J33" i="2"/>
  <c r="J55" i="2"/>
  <c r="J64" i="2"/>
  <c r="J42" i="2"/>
  <c r="J6" i="2"/>
  <c r="J54" i="2"/>
  <c r="J48" i="2"/>
  <c r="J12" i="2"/>
  <c r="J31" i="2"/>
  <c r="J26" i="2"/>
  <c r="J44" i="2"/>
  <c r="J68" i="2"/>
  <c r="J50" i="2"/>
  <c r="J27" i="2"/>
  <c r="J66" i="2"/>
  <c r="J60" i="2"/>
  <c r="J61" i="2"/>
  <c r="J25" i="2"/>
  <c r="J24" i="2"/>
  <c r="J22" i="2"/>
  <c r="J3" i="2"/>
  <c r="J53" i="2"/>
  <c r="J29" i="2"/>
  <c r="J4" i="2"/>
  <c r="J65" i="2"/>
  <c r="J5" i="2"/>
  <c r="J10" i="2"/>
  <c r="J18" i="2"/>
  <c r="J39" i="2"/>
  <c r="J37" i="2"/>
  <c r="J38" i="2"/>
  <c r="J14" i="2"/>
  <c r="J35" i="2"/>
  <c r="J41" i="2"/>
  <c r="J9" i="2"/>
  <c r="J8" i="2"/>
  <c r="J7" i="2"/>
  <c r="J59" i="2"/>
  <c r="J58" i="2"/>
  <c r="J40" i="1"/>
  <c r="J201" i="1"/>
  <c r="J149" i="1"/>
  <c r="J248" i="1"/>
  <c r="J285" i="1"/>
  <c r="J288" i="1"/>
  <c r="J210" i="1"/>
  <c r="J470" i="1"/>
  <c r="J390" i="1"/>
  <c r="J164" i="1"/>
  <c r="J402" i="1"/>
  <c r="J477" i="1"/>
  <c r="J68" i="1"/>
  <c r="J345" i="1"/>
  <c r="J271" i="1"/>
  <c r="J172" i="1"/>
  <c r="J96" i="1"/>
  <c r="J304" i="1"/>
  <c r="J53" i="1"/>
  <c r="J222" i="1"/>
  <c r="J367" i="1"/>
  <c r="J106" i="1"/>
  <c r="J247" i="1"/>
  <c r="J270" i="1"/>
  <c r="J454" i="1"/>
  <c r="J427" i="1"/>
  <c r="J466" i="1"/>
  <c r="J380" i="1"/>
  <c r="J411" i="1"/>
  <c r="J85" i="1"/>
  <c r="J447" i="1"/>
  <c r="J82" i="1"/>
  <c r="J389" i="1"/>
  <c r="J167" i="1"/>
  <c r="J15" i="1"/>
  <c r="J289" i="1"/>
  <c r="J328" i="1"/>
  <c r="J526" i="1"/>
  <c r="J278" i="1"/>
  <c r="J250" i="1"/>
  <c r="J134" i="1"/>
  <c r="J70" i="1"/>
  <c r="J23" i="1"/>
  <c r="J233" i="1"/>
  <c r="J235" i="1"/>
  <c r="J9" i="1"/>
  <c r="J177" i="1"/>
  <c r="J109" i="1"/>
  <c r="J174" i="1"/>
  <c r="J295" i="1"/>
  <c r="J179" i="1"/>
  <c r="J25" i="1"/>
  <c r="J63" i="1"/>
  <c r="J415" i="1"/>
  <c r="J130" i="1"/>
  <c r="J47" i="1"/>
  <c r="J494" i="1"/>
  <c r="J114" i="1"/>
  <c r="J21" i="1"/>
  <c r="J440" i="1"/>
  <c r="J401" i="1"/>
  <c r="J89" i="1"/>
  <c r="J388" i="1"/>
  <c r="J181" i="1"/>
  <c r="J354" i="1"/>
  <c r="J399" i="1"/>
  <c r="J60" i="1"/>
  <c r="J98" i="1"/>
  <c r="J140" i="1"/>
  <c r="J446" i="1"/>
  <c r="J510" i="1"/>
  <c r="J59" i="1"/>
  <c r="J160" i="1"/>
  <c r="J155" i="1"/>
  <c r="J397" i="1"/>
  <c r="J377" i="1"/>
  <c r="J232" i="1"/>
  <c r="J284" i="1"/>
  <c r="J133" i="1"/>
  <c r="J227" i="1"/>
  <c r="J409" i="1"/>
  <c r="J249" i="1"/>
  <c r="J292" i="1"/>
  <c r="J318" i="1"/>
  <c r="J13" i="1"/>
  <c r="J532" i="1"/>
  <c r="J226" i="1"/>
  <c r="J162" i="1"/>
  <c r="J479" i="1"/>
  <c r="J419" i="1"/>
  <c r="J333" i="1"/>
  <c r="J196" i="1"/>
  <c r="J30" i="1"/>
  <c r="J203" i="1"/>
  <c r="J230" i="1"/>
  <c r="J418" i="1"/>
  <c r="J280" i="1"/>
  <c r="J498" i="1"/>
  <c r="J190" i="1"/>
  <c r="J464" i="1"/>
  <c r="J256" i="1"/>
  <c r="J350" i="1"/>
  <c r="J266" i="1"/>
  <c r="J76" i="1"/>
  <c r="J344" i="1"/>
  <c r="J474" i="1"/>
  <c r="J508" i="1"/>
  <c r="J306" i="1"/>
  <c r="J246" i="1"/>
  <c r="J113" i="1"/>
  <c r="J187" i="1"/>
  <c r="J119" i="1"/>
  <c r="J385" i="1"/>
  <c r="J460" i="1"/>
  <c r="J499" i="1"/>
  <c r="J255" i="1"/>
  <c r="J309" i="1"/>
  <c r="J362" i="1"/>
  <c r="J310" i="1"/>
  <c r="J61" i="1"/>
  <c r="J360" i="1"/>
  <c r="J65" i="1"/>
  <c r="J489" i="1"/>
  <c r="J257" i="1"/>
  <c r="J265" i="1"/>
  <c r="J234" i="1"/>
  <c r="J281" i="1"/>
  <c r="J369" i="1"/>
  <c r="J518" i="1"/>
  <c r="J143" i="1"/>
  <c r="J178" i="1"/>
  <c r="J317" i="1"/>
  <c r="J506" i="1"/>
  <c r="J539" i="1"/>
  <c r="J71" i="1"/>
  <c r="J224" i="1"/>
  <c r="J212" i="1"/>
  <c r="J116" i="1"/>
  <c r="J524" i="1"/>
  <c r="J298" i="1"/>
  <c r="J158" i="1"/>
  <c r="J37" i="1"/>
  <c r="J468" i="1"/>
  <c r="J192" i="1"/>
  <c r="J378" i="1"/>
  <c r="J277" i="1"/>
  <c r="J449" i="1"/>
  <c r="J90" i="1"/>
  <c r="J352" i="1"/>
  <c r="J349" i="1"/>
  <c r="J99" i="1"/>
  <c r="J329" i="1"/>
  <c r="J43" i="1"/>
  <c r="J491" i="1"/>
  <c r="J154" i="1"/>
  <c r="J169" i="1"/>
  <c r="J55" i="1"/>
  <c r="J321" i="1"/>
  <c r="J424" i="1"/>
  <c r="J272" i="1"/>
  <c r="J507" i="1"/>
  <c r="J531" i="1"/>
  <c r="J279" i="1"/>
  <c r="J541" i="1"/>
  <c r="J46" i="1"/>
  <c r="J341" i="1"/>
  <c r="J31" i="1"/>
  <c r="J517" i="1"/>
  <c r="J122" i="1"/>
  <c r="J44" i="1"/>
  <c r="J39" i="1"/>
  <c r="J515" i="1"/>
  <c r="J117" i="1"/>
  <c r="J6" i="1"/>
  <c r="J320" i="1"/>
  <c r="J429" i="1"/>
  <c r="J18" i="1"/>
  <c r="J307" i="1"/>
  <c r="J225" i="1"/>
  <c r="J112" i="1"/>
  <c r="J165" i="1"/>
  <c r="J393" i="1"/>
  <c r="J121" i="1"/>
  <c r="J422" i="1"/>
  <c r="J75" i="1"/>
  <c r="J74" i="1"/>
  <c r="J356" i="1"/>
  <c r="J433" i="1"/>
  <c r="J251" i="1"/>
  <c r="J245" i="1"/>
  <c r="J239" i="1"/>
  <c r="J358" i="1"/>
  <c r="J500" i="1"/>
  <c r="J163" i="1"/>
  <c r="J180" i="1"/>
  <c r="J27" i="1"/>
  <c r="J503" i="1"/>
  <c r="J45" i="1"/>
  <c r="J17" i="1"/>
  <c r="J35" i="1"/>
  <c r="J244" i="1"/>
  <c r="J206" i="1"/>
  <c r="J12" i="1"/>
  <c r="J509" i="1"/>
  <c r="J200" i="1"/>
  <c r="J204" i="1"/>
  <c r="J431" i="1"/>
  <c r="J2" i="1"/>
  <c r="J486" i="1"/>
  <c r="J236" i="1"/>
  <c r="J57" i="1"/>
  <c r="J153" i="1"/>
  <c r="J104" i="1"/>
  <c r="J480" i="1"/>
  <c r="J127" i="1"/>
  <c r="J145" i="1"/>
  <c r="J417" i="1"/>
  <c r="J7" i="1"/>
  <c r="J316" i="1"/>
  <c r="J14" i="1"/>
  <c r="J434" i="1"/>
  <c r="J84" i="1"/>
  <c r="J111" i="1"/>
  <c r="J523" i="1"/>
  <c r="J330" i="1"/>
  <c r="J64" i="1"/>
  <c r="J308" i="1"/>
  <c r="J95" i="1"/>
  <c r="J484" i="1"/>
  <c r="J414" i="1"/>
  <c r="J346" i="1"/>
  <c r="J373" i="1"/>
  <c r="J184" i="1"/>
  <c r="J501" i="1"/>
  <c r="J261" i="1"/>
  <c r="J527" i="1"/>
  <c r="J398" i="1"/>
  <c r="J314" i="1"/>
  <c r="J264" i="1"/>
  <c r="J144" i="1"/>
  <c r="J475" i="1"/>
  <c r="J421" i="1"/>
  <c r="J458" i="1"/>
  <c r="J142" i="1"/>
  <c r="J161" i="1"/>
  <c r="J391" i="1"/>
  <c r="J101" i="1"/>
  <c r="J294" i="1"/>
  <c r="J263" i="1"/>
  <c r="J221" i="1"/>
  <c r="J359" i="1"/>
  <c r="J537" i="1"/>
  <c r="J364" i="1"/>
  <c r="J542" i="1"/>
  <c r="J534" i="1"/>
  <c r="J535" i="1"/>
  <c r="J191" i="1"/>
  <c r="J528" i="1"/>
  <c r="J416" i="1"/>
  <c r="J32" i="1"/>
  <c r="J108" i="1"/>
  <c r="J41" i="1"/>
  <c r="J516" i="1"/>
  <c r="J453" i="1"/>
  <c r="J202" i="1"/>
  <c r="J290" i="1"/>
  <c r="J205" i="1"/>
  <c r="J471" i="1"/>
  <c r="J291" i="1"/>
  <c r="J185" i="1"/>
  <c r="J529" i="1"/>
  <c r="J371" i="1"/>
  <c r="J342" i="1"/>
  <c r="J513" i="1"/>
  <c r="J366" i="1"/>
  <c r="J105" i="1"/>
  <c r="J269" i="1"/>
  <c r="J276" i="1"/>
  <c r="J504" i="1"/>
  <c r="J26" i="1"/>
  <c r="J379" i="1"/>
  <c r="J183" i="1"/>
  <c r="J395" i="1"/>
  <c r="J511" i="1"/>
  <c r="J525" i="1"/>
  <c r="J33" i="1"/>
  <c r="J365" i="1"/>
  <c r="J514" i="1"/>
  <c r="J258" i="1"/>
  <c r="J220" i="1"/>
  <c r="J400" i="1"/>
  <c r="J355" i="1"/>
  <c r="J497" i="1"/>
  <c r="J80" i="1"/>
  <c r="J331" i="1"/>
  <c r="J168" i="1"/>
  <c r="J79" i="1"/>
  <c r="J444" i="1"/>
  <c r="J478" i="1"/>
  <c r="J406" i="1"/>
  <c r="J540" i="1"/>
  <c r="J408" i="1"/>
  <c r="J435" i="1"/>
  <c r="J194" i="1"/>
  <c r="J432" i="1"/>
  <c r="J441" i="1"/>
  <c r="J481" i="1"/>
  <c r="J410" i="1"/>
  <c r="J93" i="1"/>
  <c r="J86" i="1"/>
  <c r="J215" i="1"/>
  <c r="J22" i="1"/>
  <c r="J384" i="1"/>
  <c r="J493" i="1"/>
  <c r="J467" i="1"/>
  <c r="J91" i="1"/>
  <c r="J452" i="1"/>
  <c r="J334" i="1"/>
  <c r="J282" i="1"/>
  <c r="J49" i="1"/>
  <c r="J445" i="1"/>
  <c r="J81" i="1"/>
  <c r="J94" i="1"/>
  <c r="J69" i="1"/>
  <c r="J428" i="1"/>
  <c r="J67" i="1"/>
  <c r="J543" i="1"/>
  <c r="J521" i="1"/>
  <c r="J522" i="1"/>
  <c r="J519" i="1"/>
  <c r="J126" i="1"/>
  <c r="J338" i="1"/>
  <c r="J77" i="1"/>
  <c r="J420" i="1"/>
  <c r="J36" i="1"/>
  <c r="J302" i="1"/>
  <c r="J442" i="1"/>
  <c r="J51" i="1"/>
  <c r="J5" i="1"/>
  <c r="J100" i="1"/>
  <c r="J274" i="1"/>
  <c r="J450" i="1"/>
  <c r="J10" i="1"/>
  <c r="J472" i="1"/>
  <c r="J405" i="1"/>
  <c r="J157" i="1"/>
  <c r="J301" i="1"/>
  <c r="J20" i="1"/>
  <c r="J343" i="1"/>
  <c r="J66" i="1"/>
  <c r="J58" i="1"/>
  <c r="J407" i="1"/>
  <c r="J394" i="1"/>
  <c r="J254" i="1"/>
  <c r="J351" i="1"/>
  <c r="J530" i="1"/>
  <c r="J315" i="1"/>
  <c r="J125" i="1"/>
  <c r="J209" i="1"/>
  <c r="J382" i="1"/>
  <c r="J495" i="1"/>
  <c r="J337" i="1"/>
  <c r="J312" i="1"/>
  <c r="J223" i="1"/>
  <c r="J357" i="1"/>
  <c r="J188" i="1"/>
  <c r="J319" i="1"/>
  <c r="J544" i="1"/>
  <c r="J461" i="1"/>
  <c r="J3" i="1"/>
  <c r="J451" i="1"/>
  <c r="J374" i="1"/>
  <c r="J296" i="1"/>
  <c r="J423" i="1"/>
  <c r="J483" i="1"/>
  <c r="J381" i="1"/>
  <c r="J171" i="1"/>
  <c r="J502" i="1"/>
  <c r="J448" i="1"/>
  <c r="J300" i="1"/>
  <c r="J505" i="1"/>
  <c r="J336" i="1"/>
  <c r="J42" i="1"/>
  <c r="J268" i="1"/>
  <c r="J211" i="1"/>
  <c r="J159" i="1"/>
  <c r="J148" i="1"/>
  <c r="J404" i="1"/>
  <c r="J430" i="1"/>
  <c r="J297" i="1"/>
  <c r="J267" i="1"/>
  <c r="J324" i="1"/>
  <c r="J520" i="1"/>
  <c r="J533" i="1"/>
  <c r="J303" i="1"/>
  <c r="J237" i="1"/>
  <c r="J412" i="1"/>
  <c r="J392" i="1"/>
  <c r="J348" i="1"/>
  <c r="J229" i="1"/>
  <c r="J438" i="1"/>
  <c r="J241" i="1"/>
  <c r="J189" i="1"/>
  <c r="J437" i="1"/>
  <c r="J135" i="1"/>
  <c r="J147" i="1"/>
  <c r="J103" i="1"/>
  <c r="J325" i="1"/>
  <c r="J110" i="1"/>
  <c r="J347" i="1"/>
  <c r="J78" i="1"/>
  <c r="J262" i="1"/>
  <c r="J87" i="1"/>
  <c r="J152" i="1"/>
  <c r="J340" i="1"/>
  <c r="J107" i="1"/>
  <c r="J92" i="1"/>
  <c r="J131" i="1"/>
  <c r="J132" i="1"/>
  <c r="J115" i="1"/>
  <c r="J102" i="1"/>
  <c r="J19" i="1"/>
  <c r="J73" i="1"/>
  <c r="J217" i="1"/>
  <c r="J386" i="1"/>
  <c r="J50" i="1"/>
  <c r="J216" i="1"/>
  <c r="J538" i="1"/>
  <c r="J465" i="1"/>
  <c r="J186" i="1"/>
  <c r="J426" i="1"/>
  <c r="J313" i="1"/>
  <c r="J387" i="1"/>
  <c r="J286" i="1"/>
  <c r="J339" i="1"/>
  <c r="J327" i="1"/>
  <c r="J139" i="1"/>
  <c r="J136" i="1"/>
  <c r="J273" i="1"/>
  <c r="J48" i="1"/>
  <c r="J372" i="1"/>
  <c r="J193" i="1"/>
  <c r="J403" i="1"/>
  <c r="J476" i="1"/>
  <c r="J128" i="1"/>
  <c r="J214" i="1"/>
  <c r="J242" i="1"/>
  <c r="J208" i="1"/>
  <c r="J326" i="1"/>
  <c r="J175" i="1"/>
  <c r="J72" i="1"/>
  <c r="J512" i="1"/>
  <c r="J219" i="1"/>
  <c r="J62" i="1"/>
  <c r="J34" i="1"/>
  <c r="J490" i="1"/>
  <c r="J253" i="1"/>
  <c r="J120" i="1"/>
  <c r="J496" i="1"/>
  <c r="J299" i="1"/>
  <c r="J198" i="1"/>
  <c r="J482" i="1"/>
  <c r="J56" i="1"/>
  <c r="J488" i="1"/>
  <c r="J123" i="1"/>
  <c r="J28" i="1"/>
  <c r="J29" i="1"/>
  <c r="J487" i="1"/>
  <c r="J305" i="1"/>
</calcChain>
</file>

<file path=xl/sharedStrings.xml><?xml version="1.0" encoding="utf-8"?>
<sst xmlns="http://schemas.openxmlformats.org/spreadsheetml/2006/main" count="6342" uniqueCount="3590">
  <si>
    <t>First Name</t>
  </si>
  <si>
    <t>Last Name</t>
  </si>
  <si>
    <t>Suffix</t>
  </si>
  <si>
    <t>Organization</t>
  </si>
  <si>
    <t>Member Title</t>
  </si>
  <si>
    <t>Address1</t>
  </si>
  <si>
    <t>Address2</t>
  </si>
  <si>
    <t>City</t>
  </si>
  <si>
    <t>State</t>
  </si>
  <si>
    <t>Zip</t>
  </si>
  <si>
    <t>Province</t>
  </si>
  <si>
    <t>Country</t>
  </si>
  <si>
    <t>Phone</t>
  </si>
  <si>
    <t>Email</t>
  </si>
  <si>
    <t>Vernon</t>
  </si>
  <si>
    <t>Betkey</t>
  </si>
  <si>
    <t>Jr.</t>
  </si>
  <si>
    <t>GHSA</t>
  </si>
  <si>
    <t>National Law Enforcement Liaison Program Manager</t>
  </si>
  <si>
    <t>120 Clam Shell Drive</t>
  </si>
  <si>
    <t>Ocean City</t>
  </si>
  <si>
    <t>MD</t>
  </si>
  <si>
    <t>USA</t>
  </si>
  <si>
    <t>443-910-6634</t>
  </si>
  <si>
    <t>vbetkey@ghsa.org</t>
  </si>
  <si>
    <t>Amadie</t>
  </si>
  <si>
    <t>Hart</t>
  </si>
  <si>
    <t>Consultant</t>
  </si>
  <si>
    <t>2907 Meadow Ln</t>
  </si>
  <si>
    <t>Falls Church</t>
  </si>
  <si>
    <t>VA</t>
  </si>
  <si>
    <t>703-626-6679</t>
  </si>
  <si>
    <t>ahart@ghsa.org</t>
  </si>
  <si>
    <t>Madison</t>
  </si>
  <si>
    <t>Forker</t>
  </si>
  <si>
    <t>Communications Coordinator</t>
  </si>
  <si>
    <t>444 North Capitol Street, NW</t>
  </si>
  <si>
    <t>Suite 722</t>
  </si>
  <si>
    <t>Washington</t>
  </si>
  <si>
    <t>DC</t>
  </si>
  <si>
    <t>202-789-0942</t>
  </si>
  <si>
    <t>mforker@ghsa.org</t>
  </si>
  <si>
    <t>Pam</t>
  </si>
  <si>
    <t>Fischer</t>
  </si>
  <si>
    <t>MLPA</t>
  </si>
  <si>
    <t>Pam Fischer Consulting</t>
  </si>
  <si>
    <t>Principal</t>
  </si>
  <si>
    <t>40 Oriole Drive</t>
  </si>
  <si>
    <t>Hackettstown</t>
  </si>
  <si>
    <t>NJ</t>
  </si>
  <si>
    <t>908-269-5796</t>
  </si>
  <si>
    <t>pamfischerconsulting@gmail.com</t>
  </si>
  <si>
    <t>Karson</t>
  </si>
  <si>
    <t>James</t>
  </si>
  <si>
    <t>Wyoming Department of Transportation</t>
  </si>
  <si>
    <t>Sr. Financial Analyst</t>
  </si>
  <si>
    <t>5300 Bishop Boulevard</t>
  </si>
  <si>
    <t>Cheyenne</t>
  </si>
  <si>
    <t>WY</t>
  </si>
  <si>
    <t>307-777-4257</t>
  </si>
  <si>
    <t>Karson.James@wyo.gov</t>
  </si>
  <si>
    <t>Jeff</t>
  </si>
  <si>
    <t>Larason</t>
  </si>
  <si>
    <t>Massachusetts Highway Safety Division</t>
  </si>
  <si>
    <t>Director</t>
  </si>
  <si>
    <t>Ten Park Plaza</t>
  </si>
  <si>
    <t>Suite 3720</t>
  </si>
  <si>
    <t>Boston</t>
  </si>
  <si>
    <t>MA</t>
  </si>
  <si>
    <t>617-725-3308</t>
  </si>
  <si>
    <t>jeff.larason@state.ma.us</t>
  </si>
  <si>
    <t>Susan</t>
  </si>
  <si>
    <t>Smart Start Inc.</t>
  </si>
  <si>
    <t>500 E. Dallas Road</t>
  </si>
  <si>
    <t>Ste 100</t>
  </si>
  <si>
    <t>Grapevine</t>
  </si>
  <si>
    <t>TX</t>
  </si>
  <si>
    <t>800-880-3394</t>
  </si>
  <si>
    <t>Cory</t>
  </si>
  <si>
    <t>LeBlanc</t>
  </si>
  <si>
    <t>Vice President, North American Operations</t>
  </si>
  <si>
    <t>CleBlanc@smartstartinc.com</t>
  </si>
  <si>
    <t>Hedlund</t>
  </si>
  <si>
    <t>Highway Safety North</t>
  </si>
  <si>
    <t>110 Homestead Road</t>
  </si>
  <si>
    <t>Ithaca</t>
  </si>
  <si>
    <t>NY</t>
  </si>
  <si>
    <t>607-273-5645</t>
  </si>
  <si>
    <t>jhedlund@sprynet.com</t>
  </si>
  <si>
    <t>Lauren</t>
  </si>
  <si>
    <t>Stewart</t>
  </si>
  <si>
    <t>Maine Bureau of Highway Safety</t>
  </si>
  <si>
    <t>45 Commerce Drive, Suite 1</t>
  </si>
  <si>
    <t>164 State House Station</t>
  </si>
  <si>
    <t>Augusta</t>
  </si>
  <si>
    <t>ME</t>
  </si>
  <si>
    <t>207-626-3840</t>
  </si>
  <si>
    <t>lauren.v.stewart@maine.gov</t>
  </si>
  <si>
    <t>Jaime</t>
  </si>
  <si>
    <t>Pelotte</t>
  </si>
  <si>
    <t>Contract Grant Specialist</t>
  </si>
  <si>
    <t>45 Commerce Dr., Suite 1</t>
  </si>
  <si>
    <t>207-626-3846</t>
  </si>
  <si>
    <t>Jaime.l.Pelotte@maine.gov</t>
  </si>
  <si>
    <t>Thomas</t>
  </si>
  <si>
    <t>Gianni</t>
  </si>
  <si>
    <t>Maryland Motor Vehicle Administration</t>
  </si>
  <si>
    <t>Chief, Maryland Highway Safety Office</t>
  </si>
  <si>
    <t>One Orchard Drive</t>
  </si>
  <si>
    <t>2nd Floor</t>
  </si>
  <si>
    <t>Glen Burnie</t>
  </si>
  <si>
    <t>410-787-4014</t>
  </si>
  <si>
    <t>tgianni@mdot.state.md.us</t>
  </si>
  <si>
    <t>Michael</t>
  </si>
  <si>
    <t>Prince</t>
  </si>
  <si>
    <t>Michigan Office of Highway Safety Planning</t>
  </si>
  <si>
    <t>P.O. Box 30634</t>
  </si>
  <si>
    <t>Lansing</t>
  </si>
  <si>
    <t>MI</t>
  </si>
  <si>
    <t>517-284-3066</t>
  </si>
  <si>
    <t>princem@michigan.gov</t>
  </si>
  <si>
    <t>David</t>
  </si>
  <si>
    <t>Surgenor</t>
  </si>
  <si>
    <t>Motorcycle Safety Foundation</t>
  </si>
  <si>
    <t>Director, Student Outcomes</t>
  </si>
  <si>
    <t>2 Jenner</t>
  </si>
  <si>
    <t>Suite 150</t>
  </si>
  <si>
    <t>Irvine</t>
  </si>
  <si>
    <t>CA</t>
  </si>
  <si>
    <t>949-727-3227</t>
  </si>
  <si>
    <t>dsurgenor@msf-usa.org</t>
  </si>
  <si>
    <t>Alina</t>
  </si>
  <si>
    <t>Cabrera</t>
  </si>
  <si>
    <t>Northern Mariana Islands Department of Public Safety</t>
  </si>
  <si>
    <t>Program Manager, Highway Safety Office</t>
  </si>
  <si>
    <t>Jose M. Sablan Building, Susupe</t>
  </si>
  <si>
    <t>Saipan</t>
  </si>
  <si>
    <t>--</t>
  </si>
  <si>
    <t>MP</t>
  </si>
  <si>
    <t>670-664-9131</t>
  </si>
  <si>
    <t>accabrera@dps.gov.mp</t>
  </si>
  <si>
    <t>Karin</t>
  </si>
  <si>
    <t>Mongeon</t>
  </si>
  <si>
    <t>North Dakota Department of Transportation</t>
  </si>
  <si>
    <t>Safety Division Director</t>
  </si>
  <si>
    <t>608 East Boulevard Avenue</t>
  </si>
  <si>
    <t>Bismarck</t>
  </si>
  <si>
    <t>ND</t>
  </si>
  <si>
    <t>701-328-4434</t>
  </si>
  <si>
    <t>kamongeon@nd.gov</t>
  </si>
  <si>
    <t>Ryan</t>
  </si>
  <si>
    <t>Klitzsch</t>
  </si>
  <si>
    <t>6226 N. Delaware St.</t>
  </si>
  <si>
    <t>Indianapolis</t>
  </si>
  <si>
    <t>IN</t>
  </si>
  <si>
    <t>317-260-7811</t>
  </si>
  <si>
    <t>rklitzsch@camsys.com</t>
  </si>
  <si>
    <t>Matthew</t>
  </si>
  <si>
    <t>Erwin</t>
  </si>
  <si>
    <t>Mazda North American Operations</t>
  </si>
  <si>
    <t>Manager, State Affairs</t>
  </si>
  <si>
    <t>1025 Connecticut Avenue, NW</t>
  </si>
  <si>
    <t>Suite 910</t>
  </si>
  <si>
    <t>202-467-5094</t>
  </si>
  <si>
    <t>merwin@mazdausa.com</t>
  </si>
  <si>
    <t>Bruce</t>
  </si>
  <si>
    <t>Goodfleisch</t>
  </si>
  <si>
    <t>La Grange Police Department</t>
  </si>
  <si>
    <t>Major</t>
  </si>
  <si>
    <t>121 W Main Street</t>
  </si>
  <si>
    <t>Suite 300</t>
  </si>
  <si>
    <t>La Grange</t>
  </si>
  <si>
    <t>KY</t>
  </si>
  <si>
    <t>502-225-0444</t>
  </si>
  <si>
    <t>bgoodfleisch@lagrangepoliceky.org</t>
  </si>
  <si>
    <t>Frank</t>
  </si>
  <si>
    <t>Conway</t>
  </si>
  <si>
    <t>Chief</t>
  </si>
  <si>
    <t>fconway@lagrangepoliceky.org</t>
  </si>
  <si>
    <t>Betty</t>
  </si>
  <si>
    <t>Mercer</t>
  </si>
  <si>
    <t>Mercer Consulting Group LLC</t>
  </si>
  <si>
    <t>2350 Barnsbury Road</t>
  </si>
  <si>
    <t>East Lansing</t>
  </si>
  <si>
    <t>517-861-7831</t>
  </si>
  <si>
    <t>mercerconsulting@comcast.net</t>
  </si>
  <si>
    <t>Kerri</t>
  </si>
  <si>
    <t>Lowrey</t>
  </si>
  <si>
    <t>Network for Public Health Law</t>
  </si>
  <si>
    <t>Director of Grants and Research</t>
  </si>
  <si>
    <t>500 West Baltimore Street</t>
  </si>
  <si>
    <t>Baltimore</t>
  </si>
  <si>
    <t>410-706-5994</t>
  </si>
  <si>
    <t>klowrey@law.umaryland.edu</t>
  </si>
  <si>
    <t>Patti</t>
  </si>
  <si>
    <t>Brady</t>
  </si>
  <si>
    <t>Youth Accident Prevention Program</t>
  </si>
  <si>
    <t xml:space="preserve">Director </t>
  </si>
  <si>
    <t>3001 West Roosevelt</t>
  </si>
  <si>
    <t>Little Rock</t>
  </si>
  <si>
    <t>AR</t>
  </si>
  <si>
    <t>501-340-6829</t>
  </si>
  <si>
    <t>pbray@pulaskicounty.net</t>
  </si>
  <si>
    <t>Marty</t>
  </si>
  <si>
    <t>Hoffman</t>
  </si>
  <si>
    <t>Flatwoods Police Dept</t>
  </si>
  <si>
    <t>Sergeant</t>
  </si>
  <si>
    <t>2513 Reed St</t>
  </si>
  <si>
    <t>Flatwoods</t>
  </si>
  <si>
    <t>606-836-8189</t>
  </si>
  <si>
    <t>mhoffman@flatwoodspd.org</t>
  </si>
  <si>
    <t>Parsons</t>
  </si>
  <si>
    <t>Boone County Sheriff's Office</t>
  </si>
  <si>
    <t>Traffic Deputy</t>
  </si>
  <si>
    <t>3000 Conrad Lane</t>
  </si>
  <si>
    <t>P.O. Box 198</t>
  </si>
  <si>
    <t>Burlington</t>
  </si>
  <si>
    <t>859-334-2175</t>
  </si>
  <si>
    <t>Jason</t>
  </si>
  <si>
    <t>Noel</t>
  </si>
  <si>
    <t>Traffic Commander</t>
  </si>
  <si>
    <t>jnoel@boonecountyky.org</t>
  </si>
  <si>
    <t>Bryan</t>
  </si>
  <si>
    <t>Curry</t>
  </si>
  <si>
    <t>Boone County Sherriff's Office</t>
  </si>
  <si>
    <t>3000 Conrad Ln</t>
  </si>
  <si>
    <t>PO Box 198</t>
  </si>
  <si>
    <t>bcurry@boonecountyky.org</t>
  </si>
  <si>
    <t>Marcus</t>
  </si>
  <si>
    <t>Jackson</t>
  </si>
  <si>
    <t>Hodgenville Police Department</t>
  </si>
  <si>
    <t>Chief of Police</t>
  </si>
  <si>
    <t>45 W High St</t>
  </si>
  <si>
    <t>Hodgenville</t>
  </si>
  <si>
    <t>270-766-4202</t>
  </si>
  <si>
    <t>policechief@cityofhodgenvilleky.com</t>
  </si>
  <si>
    <t>Daniel</t>
  </si>
  <si>
    <t>Klenetsky</t>
  </si>
  <si>
    <t>NASCAR</t>
  </si>
  <si>
    <t>Manager, Public &amp; Government Affairs</t>
  </si>
  <si>
    <t>1 Daytona Blvd.</t>
  </si>
  <si>
    <t>Daytona Beach</t>
  </si>
  <si>
    <t>FL</t>
  </si>
  <si>
    <t>386-310-6128</t>
  </si>
  <si>
    <t>dklenetsky@nascar.com</t>
  </si>
  <si>
    <t>Brian</t>
  </si>
  <si>
    <t>Smith</t>
  </si>
  <si>
    <t>LaRue County Sheriff's Office</t>
  </si>
  <si>
    <t>Chief Deputy</t>
  </si>
  <si>
    <t>209 West Hight Street, Suite 6</t>
  </si>
  <si>
    <t>270-358-3120</t>
  </si>
  <si>
    <t>bsmith@laruecounty.org</t>
  </si>
  <si>
    <t>Sandra</t>
  </si>
  <si>
    <t>Maxwell</t>
  </si>
  <si>
    <t>Auto Club Group-Michigan</t>
  </si>
  <si>
    <t>45241 Thornhill Road</t>
  </si>
  <si>
    <t>Canton</t>
  </si>
  <si>
    <t>313-336-0535</t>
  </si>
  <si>
    <t>sjmaxwell@aaamichigan.com</t>
  </si>
  <si>
    <t>Saffle</t>
  </si>
  <si>
    <t>Lifeloc Technologies Inc.</t>
  </si>
  <si>
    <t>Business Development Manager</t>
  </si>
  <si>
    <t>12441 W. 49th Ave. #4</t>
  </si>
  <si>
    <t>Wheat Ridge</t>
  </si>
  <si>
    <t>CO</t>
  </si>
  <si>
    <t>303-431-9500</t>
  </si>
  <si>
    <t>Sarah@lifeloc.com</t>
  </si>
  <si>
    <t>Sandy</t>
  </si>
  <si>
    <t>Spavone</t>
  </si>
  <si>
    <t>Family Career and Community Leaders of America</t>
  </si>
  <si>
    <t>Executive Director</t>
  </si>
  <si>
    <t>1910 Association Drive</t>
  </si>
  <si>
    <t>Reston</t>
  </si>
  <si>
    <t>703-476-4900</t>
  </si>
  <si>
    <t>sspavone@fcclainc.org</t>
  </si>
  <si>
    <t>Pannkuk</t>
  </si>
  <si>
    <t>Washington Traffic Safety Commission</t>
  </si>
  <si>
    <t>Deputy Director</t>
  </si>
  <si>
    <t>P.O. Box 40944</t>
  </si>
  <si>
    <t>Olympia</t>
  </si>
  <si>
    <t>WA</t>
  </si>
  <si>
    <t>360-725-9884</t>
  </si>
  <si>
    <t>ppannkuk@wtsc.wa.gov</t>
  </si>
  <si>
    <t>Reagan</t>
  </si>
  <si>
    <t>LEL</t>
  </si>
  <si>
    <t>207-480-0603</t>
  </si>
  <si>
    <t>Thomas.j.reagan@maine.gov</t>
  </si>
  <si>
    <t>John</t>
  </si>
  <si>
    <t>Ciaffone</t>
  </si>
  <si>
    <t>TransOptions</t>
  </si>
  <si>
    <t>President</t>
  </si>
  <si>
    <t>2 Ridgedale Avenue</t>
  </si>
  <si>
    <t>Suite 200</t>
  </si>
  <si>
    <t>Cedar Knolls</t>
  </si>
  <si>
    <t>973-267-7600</t>
  </si>
  <si>
    <t>jciaffone@transoptions.org</t>
  </si>
  <si>
    <t>Jana</t>
  </si>
  <si>
    <t>Simpler</t>
  </si>
  <si>
    <t>Delaware Office of Highway Safety</t>
  </si>
  <si>
    <t>P.O. Box 1321</t>
  </si>
  <si>
    <t>Dover</t>
  </si>
  <si>
    <t>DE</t>
  </si>
  <si>
    <t>302-744-2745</t>
  </si>
  <si>
    <t>jana.simpler@state.de.us</t>
  </si>
  <si>
    <t>Kimberly</t>
  </si>
  <si>
    <t>Chesser</t>
  </si>
  <si>
    <t>302-744-2742</t>
  </si>
  <si>
    <t>kimberly.chesser@state.de.us</t>
  </si>
  <si>
    <t>Robert</t>
  </si>
  <si>
    <t>Peak</t>
  </si>
  <si>
    <t>Harrison County Sheriff's Office</t>
  </si>
  <si>
    <t>Deputy Sheriff</t>
  </si>
  <si>
    <t>113 West Pike Street</t>
  </si>
  <si>
    <t>Cynthiana</t>
  </si>
  <si>
    <t>859-234-7135</t>
  </si>
  <si>
    <t>rpeak@hcsoky.com</t>
  </si>
  <si>
    <t>Dale</t>
  </si>
  <si>
    <t>Gilbert</t>
  </si>
  <si>
    <t>Highway Safety Coordinator</t>
  </si>
  <si>
    <t>Dale.e.gilbert@maine.gov</t>
  </si>
  <si>
    <t>Tracy</t>
  </si>
  <si>
    <t>Anderson</t>
  </si>
  <si>
    <t>Institute for Transportation Research &amp; Education (NCSU)</t>
  </si>
  <si>
    <t>NC Vision Zero Coordinator</t>
  </si>
  <si>
    <t>1005 Avent HI Apt B6</t>
  </si>
  <si>
    <t>Raleigh</t>
  </si>
  <si>
    <t>NC</t>
  </si>
  <si>
    <t>704-340-0923</t>
  </si>
  <si>
    <t>tjanders@ncsu.edu</t>
  </si>
  <si>
    <t>Kenneth</t>
  </si>
  <si>
    <t>Ledet</t>
  </si>
  <si>
    <t>Highway Safety Behavioral Grants Program Manager</t>
  </si>
  <si>
    <t>307-777-4200</t>
  </si>
  <si>
    <t>kenneth.ledet@wyo.gov</t>
  </si>
  <si>
    <t>Kathy</t>
  </si>
  <si>
    <t>McNicholas</t>
  </si>
  <si>
    <t>Vancouver Police</t>
  </si>
  <si>
    <t>Lieutenant</t>
  </si>
  <si>
    <t>PO Box 1995</t>
  </si>
  <si>
    <t>Vancouver</t>
  </si>
  <si>
    <t>360-487-7555</t>
  </si>
  <si>
    <t>kathy.mcnicholas@cityofvancouver.us</t>
  </si>
  <si>
    <t>Tim</t>
  </si>
  <si>
    <t>Wilson</t>
  </si>
  <si>
    <t>Battle Ground Police Department</t>
  </si>
  <si>
    <t>507 SW 1st St.</t>
  </si>
  <si>
    <t>Battle Ground</t>
  </si>
  <si>
    <t>Tim.Wilson@cityofbg.org</t>
  </si>
  <si>
    <t>Therese</t>
  </si>
  <si>
    <t>Kubala</t>
  </si>
  <si>
    <t>Therese.Kubala@cityofvancouver.us</t>
  </si>
  <si>
    <t>Brent</t>
  </si>
  <si>
    <t>Jennings</t>
  </si>
  <si>
    <t>Jennings Consulting LLC</t>
  </si>
  <si>
    <t>2675 E. Mariposa Drive</t>
  </si>
  <si>
    <t>Eagle</t>
  </si>
  <si>
    <t>ID</t>
  </si>
  <si>
    <t>208-859-5459</t>
  </si>
  <si>
    <t>borisjennings@gmail.com</t>
  </si>
  <si>
    <t>Ali</t>
  </si>
  <si>
    <t>Edelstein</t>
  </si>
  <si>
    <t>Kentucky Distillers' Association</t>
  </si>
  <si>
    <t>Director of Social Responsibility</t>
  </si>
  <si>
    <t>614 Shelby Street</t>
  </si>
  <si>
    <t>Frankfort</t>
  </si>
  <si>
    <t>502-875-9351</t>
  </si>
  <si>
    <t>ali@kybourbon.com</t>
  </si>
  <si>
    <t>Cody</t>
  </si>
  <si>
    <t>Cagnina</t>
  </si>
  <si>
    <t>AllOver Media</t>
  </si>
  <si>
    <t>Account Executive</t>
  </si>
  <si>
    <t>16355 36th Ave N Ste 700</t>
  </si>
  <si>
    <t>Minneapolis</t>
  </si>
  <si>
    <t>MN</t>
  </si>
  <si>
    <t>952-200-7615</t>
  </si>
  <si>
    <t>cody.cagnina@allovermedia.com</t>
  </si>
  <si>
    <t>Lee</t>
  </si>
  <si>
    <t>Axdahl</t>
  </si>
  <si>
    <t>South Dakota Office of Highway Safety</t>
  </si>
  <si>
    <t>118 West Capitol Avenue</t>
  </si>
  <si>
    <t>Pierre</t>
  </si>
  <si>
    <t>SD</t>
  </si>
  <si>
    <t>605-773-6426</t>
  </si>
  <si>
    <t>lee.axdahl@state.sd.us</t>
  </si>
  <si>
    <t>Amanda</t>
  </si>
  <si>
    <t>Hossle</t>
  </si>
  <si>
    <t>Management Analyst</t>
  </si>
  <si>
    <t>605-773-4949</t>
  </si>
  <si>
    <t>Amanda.Hossle@state.sd.us</t>
  </si>
  <si>
    <t>Jenna</t>
  </si>
  <si>
    <t>Howell</t>
  </si>
  <si>
    <t>Staff Attorney</t>
  </si>
  <si>
    <t>605-773-3178</t>
  </si>
  <si>
    <t>jenna.howell@state.sd.us</t>
  </si>
  <si>
    <t>Nancy</t>
  </si>
  <si>
    <t>Allard</t>
  </si>
  <si>
    <t>Judicial Outreach Liaison</t>
  </si>
  <si>
    <t>nancy.allard@state.sd.us</t>
  </si>
  <si>
    <t>Christopher</t>
  </si>
  <si>
    <t>Grant</t>
  </si>
  <si>
    <t>Driver Education Coordinator</t>
  </si>
  <si>
    <t>christopher.grant@state.sd.us</t>
  </si>
  <si>
    <t>Adam</t>
  </si>
  <si>
    <t>ALCOLOCK USA</t>
  </si>
  <si>
    <t>Glenn</t>
  </si>
  <si>
    <t>Davis</t>
  </si>
  <si>
    <t>Colorado Office of Transportation Safety</t>
  </si>
  <si>
    <t>Highway Safety Manager</t>
  </si>
  <si>
    <t>Headquarters Complex</t>
  </si>
  <si>
    <t>4201 East Arkansas Avenue</t>
  </si>
  <si>
    <t>Denver</t>
  </si>
  <si>
    <t>303-757-9462</t>
  </si>
  <si>
    <t>Glenn.Davis@state.co.us</t>
  </si>
  <si>
    <t>Carol</t>
  </si>
  <si>
    <t>Gould</t>
  </si>
  <si>
    <t>4201 East Arkansas Avenue, 3rd Floor</t>
  </si>
  <si>
    <t>303-757-9468</t>
  </si>
  <si>
    <t>carol.gould@state.co.us</t>
  </si>
  <si>
    <t>Darrell</t>
  </si>
  <si>
    <t>Lingk</t>
  </si>
  <si>
    <t>303-757-9465</t>
  </si>
  <si>
    <t>darrell.lingk@state.co.us</t>
  </si>
  <si>
    <t>Bruno</t>
  </si>
  <si>
    <t>DiGennaro</t>
  </si>
  <si>
    <t>Volvo Cars of North America LLC</t>
  </si>
  <si>
    <t>Safety &amp; Compliance Programs Manager</t>
  </si>
  <si>
    <t>Dept. 1496413000/1 Volvo Drive</t>
  </si>
  <si>
    <t>P.O. Box 914</t>
  </si>
  <si>
    <t>Rockleigh</t>
  </si>
  <si>
    <t>201-218-7106</t>
  </si>
  <si>
    <t>bdigenna@volvocars.com</t>
  </si>
  <si>
    <t>Lance</t>
  </si>
  <si>
    <t>Grubbs</t>
  </si>
  <si>
    <t>Indiana Criminal Justice Institute</t>
  </si>
  <si>
    <t>Law Enforcement Liaison - NE Region</t>
  </si>
  <si>
    <t>1409 E. Market St.</t>
  </si>
  <si>
    <t>Warsaw</t>
  </si>
  <si>
    <t>574-453-7305</t>
  </si>
  <si>
    <t>lance.grubbs@comcast.net</t>
  </si>
  <si>
    <t>Edward</t>
  </si>
  <si>
    <t>Bailey</t>
  </si>
  <si>
    <t>Erlanger Police</t>
  </si>
  <si>
    <t>Grants Manager</t>
  </si>
  <si>
    <t>City of Erlanger</t>
  </si>
  <si>
    <t>505 Commonwealth Avenue</t>
  </si>
  <si>
    <t>Erlanger</t>
  </si>
  <si>
    <t>859-727-7650</t>
  </si>
  <si>
    <t>ed.bailey@erlangerpd.com</t>
  </si>
  <si>
    <t>Eric (Mike)</t>
  </si>
  <si>
    <t>Brush</t>
  </si>
  <si>
    <t>ABATE of Illinois</t>
  </si>
  <si>
    <t>Safety &amp; Education Coordinator</t>
  </si>
  <si>
    <t>311 E Main St #418</t>
  </si>
  <si>
    <t>Galesburg</t>
  </si>
  <si>
    <t>IL</t>
  </si>
  <si>
    <t>309-343-6588</t>
  </si>
  <si>
    <t>abate@galesburg.net</t>
  </si>
  <si>
    <t>Phil</t>
  </si>
  <si>
    <t>Riley</t>
  </si>
  <si>
    <t>South Carolina Office of Highway Safety and Justice Programs</t>
  </si>
  <si>
    <t>P.O. Box 1993</t>
  </si>
  <si>
    <t>Blythewood</t>
  </si>
  <si>
    <t>SC</t>
  </si>
  <si>
    <t>803-896-9950</t>
  </si>
  <si>
    <t>PhilRiley@scdps.gov</t>
  </si>
  <si>
    <t>Stefanie</t>
  </si>
  <si>
    <t>Dunham</t>
  </si>
  <si>
    <t>Ford Motor Company Fund &amp; Community Services</t>
  </si>
  <si>
    <t>Ford Driving Skills for Life</t>
  </si>
  <si>
    <t>One American Road</t>
  </si>
  <si>
    <t>Room 0209-E3</t>
  </si>
  <si>
    <t>Dearborn</t>
  </si>
  <si>
    <t>313-323-8278</t>
  </si>
  <si>
    <t>sdunham6@ford.com</t>
  </si>
  <si>
    <t>Jim</t>
  </si>
  <si>
    <t>Graham</t>
  </si>
  <si>
    <t>Global Program Manager, Ford Driving Skills for Life</t>
  </si>
  <si>
    <t>2100-A2</t>
  </si>
  <si>
    <t>313-322-9030</t>
  </si>
  <si>
    <t>jgraham1@ford.com</t>
  </si>
  <si>
    <t>Randy</t>
  </si>
  <si>
    <t>Bleicher</t>
  </si>
  <si>
    <t>Chief Driving Instructor</t>
  </si>
  <si>
    <t>Pro Formance Group, Inc.</t>
  </si>
  <si>
    <t>111 S. Weber Drive, Suite 2</t>
  </si>
  <si>
    <t>Chandler</t>
  </si>
  <si>
    <t>AZ</t>
  </si>
  <si>
    <t>602-421-6758</t>
  </si>
  <si>
    <t>rbleicher@pfgevents.com</t>
  </si>
  <si>
    <t>Sam</t>
  </si>
  <si>
    <t>VarnHagen</t>
  </si>
  <si>
    <t>Photographer</t>
  </si>
  <si>
    <t>c/o VarnHagen Creative Photo LLC</t>
  </si>
  <si>
    <t>22855 Bohn Road</t>
  </si>
  <si>
    <t>Belleville</t>
  </si>
  <si>
    <t>734-461-9965</t>
  </si>
  <si>
    <t>varnhagenphoto@gmail.com</t>
  </si>
  <si>
    <t>Kate</t>
  </si>
  <si>
    <t>Dennis</t>
  </si>
  <si>
    <t>Marketing Communications</t>
  </si>
  <si>
    <t>c/o Kade Communications</t>
  </si>
  <si>
    <t>436 Colonial Ct.</t>
  </si>
  <si>
    <t>Grosse Pointe</t>
  </si>
  <si>
    <t>313-622-2444</t>
  </si>
  <si>
    <t>kdennis@kadecommunications.com</t>
  </si>
  <si>
    <t>Tom</t>
  </si>
  <si>
    <t>Artushin</t>
  </si>
  <si>
    <t>Ford Motor Company</t>
  </si>
  <si>
    <t>Safety Strategy Manager</t>
  </si>
  <si>
    <t>330 Town Center Drive</t>
  </si>
  <si>
    <t>Suite 500 FPS</t>
  </si>
  <si>
    <t>313-323-9937</t>
  </si>
  <si>
    <t>tartushi@ford.com</t>
  </si>
  <si>
    <t>Shallenberger</t>
  </si>
  <si>
    <t>Tazewell County Sheriff's Office</t>
  </si>
  <si>
    <t>Deputy</t>
  </si>
  <si>
    <t>101 South Capitol Street</t>
  </si>
  <si>
    <t>Pekin</t>
  </si>
  <si>
    <t>309-346-4141</t>
  </si>
  <si>
    <t>jshallenberger@tazewell.com</t>
  </si>
  <si>
    <t>Judy</t>
  </si>
  <si>
    <t>Price</t>
  </si>
  <si>
    <t>Somerset Police Department</t>
  </si>
  <si>
    <t>Grant Coordinator</t>
  </si>
  <si>
    <t>306 East Mount Vernon</t>
  </si>
  <si>
    <t>Somerset</t>
  </si>
  <si>
    <t>606-678-5176</t>
  </si>
  <si>
    <t>judy.price@somersetpd.com</t>
  </si>
  <si>
    <t>Cole</t>
  </si>
  <si>
    <t>Communications Manager, Traffic Safety</t>
  </si>
  <si>
    <t>Room 277</t>
  </si>
  <si>
    <t>303-757-9484</t>
  </si>
  <si>
    <t>sam.cole@state.co.us</t>
  </si>
  <si>
    <t>Fort Thomas Police Department</t>
  </si>
  <si>
    <t>Patrolman</t>
  </si>
  <si>
    <t>130 N Ft. Thomas Ave.</t>
  </si>
  <si>
    <t>Fort Thomas</t>
  </si>
  <si>
    <t>859-588-9523</t>
  </si>
  <si>
    <t>apeak@ftthomas.org</t>
  </si>
  <si>
    <t>Andrew</t>
  </si>
  <si>
    <t>Guevara</t>
  </si>
  <si>
    <t>American Association of Motor Vehicle Administrato</t>
  </si>
  <si>
    <t>4401 Wilson Boulevard</t>
  </si>
  <si>
    <t>Ste. 700</t>
  </si>
  <si>
    <t>Arlington</t>
  </si>
  <si>
    <t>703-908-2806</t>
  </si>
  <si>
    <t>aguevara@aamva.org</t>
  </si>
  <si>
    <t>Mullikin</t>
  </si>
  <si>
    <t>PAS Systems International</t>
  </si>
  <si>
    <t>Marketing Assistant</t>
  </si>
  <si>
    <t>P.O. Box 330</t>
  </si>
  <si>
    <t>Fredericksburg</t>
  </si>
  <si>
    <t>540-372-3431</t>
  </si>
  <si>
    <t>jmullikin@pasintl.com</t>
  </si>
  <si>
    <t>Helen</t>
  </si>
  <si>
    <t>Porter</t>
  </si>
  <si>
    <t>Mississippi Office of Highway Safety</t>
  </si>
  <si>
    <t>Office Director</t>
  </si>
  <si>
    <t>1025 North Park Drive</t>
  </si>
  <si>
    <t>Ridgeland</t>
  </si>
  <si>
    <t>MS</t>
  </si>
  <si>
    <t>601-977-3717</t>
  </si>
  <si>
    <t>hporter@dps.ms.gov</t>
  </si>
  <si>
    <t>Brown</t>
  </si>
  <si>
    <t>Oldham County Police</t>
  </si>
  <si>
    <t>1855 N Highway 393</t>
  </si>
  <si>
    <t>502-222-1300</t>
  </si>
  <si>
    <t>jbrown@oldhamcountyky.gov</t>
  </si>
  <si>
    <t>Cornell</t>
  </si>
  <si>
    <t>Oldham County Police Department</t>
  </si>
  <si>
    <t>mcornell@oldhamcountyky.gov</t>
  </si>
  <si>
    <t>Kurt</t>
  </si>
  <si>
    <t>Erickson</t>
  </si>
  <si>
    <t>Washington Regional Alcohol Program</t>
  </si>
  <si>
    <t>President &amp; CEO</t>
  </si>
  <si>
    <t>7700 Leesburg Pike</t>
  </si>
  <si>
    <t>Ste 249</t>
  </si>
  <si>
    <t>703-893-0461</t>
  </si>
  <si>
    <t>kurt@wrap.org</t>
  </si>
  <si>
    <t>Carrie</t>
  </si>
  <si>
    <t>Silcox</t>
  </si>
  <si>
    <t>Utah Highway Safety Office</t>
  </si>
  <si>
    <t>5500 Amelia Earhart Drive</t>
  </si>
  <si>
    <t>Suite 155</t>
  </si>
  <si>
    <t>Salt Lake City</t>
  </si>
  <si>
    <t>UT</t>
  </si>
  <si>
    <t>801-386-1888</t>
  </si>
  <si>
    <t>csilcox@utah.gov</t>
  </si>
  <si>
    <t>William</t>
  </si>
  <si>
    <t>Watts</t>
  </si>
  <si>
    <t>Hardin County Sheriff's Office</t>
  </si>
  <si>
    <t>Operations</t>
  </si>
  <si>
    <t>150 N. Provident Way</t>
  </si>
  <si>
    <t>Suite 101</t>
  </si>
  <si>
    <t>Elizabethtown</t>
  </si>
  <si>
    <t>270-765-5133</t>
  </si>
  <si>
    <t>billyw.hcso@hcky.org</t>
  </si>
  <si>
    <t>Broughton</t>
  </si>
  <si>
    <t>Woodford County Sheriff's Office</t>
  </si>
  <si>
    <t>103 South Main Street</t>
  </si>
  <si>
    <t>Versailles</t>
  </si>
  <si>
    <t>859-873-3119</t>
  </si>
  <si>
    <t>kbroughton@woodfordcountyky.org</t>
  </si>
  <si>
    <t>Steve</t>
  </si>
  <si>
    <t>Garcia</t>
  </si>
  <si>
    <t>4600 Castleton Ct.</t>
  </si>
  <si>
    <t>Castle Rock</t>
  </si>
  <si>
    <t>303-688-3115</t>
  </si>
  <si>
    <t>steve.garcia@state.co.us</t>
  </si>
  <si>
    <t>Fronce</t>
  </si>
  <si>
    <t>Financial Analyst</t>
  </si>
  <si>
    <t>801-366-6040</t>
  </si>
  <si>
    <t>cfronce@utah.gov</t>
  </si>
  <si>
    <t>Gary</t>
  </si>
  <si>
    <t>Poedubicky</t>
  </si>
  <si>
    <t>New Jersey Division of Highway Traffic Safety</t>
  </si>
  <si>
    <t>Acting Director</t>
  </si>
  <si>
    <t>P.O. Box 048</t>
  </si>
  <si>
    <t>Trenton</t>
  </si>
  <si>
    <t>609-633-9014</t>
  </si>
  <si>
    <t>gary.poedubicky@lps.state.nj.us</t>
  </si>
  <si>
    <t>Palmer</t>
  </si>
  <si>
    <t>Maysville Police Department</t>
  </si>
  <si>
    <t>212 Government Street</t>
  </si>
  <si>
    <t>Maysville</t>
  </si>
  <si>
    <t>606-564-2566</t>
  </si>
  <si>
    <t>mpalmer@maysvilleky.net</t>
  </si>
  <si>
    <t>Justin</t>
  </si>
  <si>
    <t>Horch</t>
  </si>
  <si>
    <t>606-564-9411</t>
  </si>
  <si>
    <t>jhorch@maysvilleky.net</t>
  </si>
  <si>
    <t>Richard</t>
  </si>
  <si>
    <t>Harkness</t>
  </si>
  <si>
    <t>ADEPT Driver</t>
  </si>
  <si>
    <t>CEO</t>
  </si>
  <si>
    <t>2374 Maritime Drive</t>
  </si>
  <si>
    <t>Elk Grove</t>
  </si>
  <si>
    <t>916-509-8012</t>
  </si>
  <si>
    <t>richard@adeptdriver.com</t>
  </si>
  <si>
    <t>Robyn</t>
  </si>
  <si>
    <t>LaLumia</t>
  </si>
  <si>
    <t>Impaired Driving Program Manager</t>
  </si>
  <si>
    <t>rlalumia@utah.gov</t>
  </si>
  <si>
    <t>Eberspacher</t>
  </si>
  <si>
    <t>National Center for DWI Courts</t>
  </si>
  <si>
    <t>1029 N. Royal Street</t>
  </si>
  <si>
    <t>Suite 201</t>
  </si>
  <si>
    <t>Alexandria</t>
  </si>
  <si>
    <t>571-384-1875</t>
  </si>
  <si>
    <t>jeberspacher@dwicourts.org</t>
  </si>
  <si>
    <t>Brandy</t>
  </si>
  <si>
    <t>Nannini</t>
  </si>
  <si>
    <t>Foundation for Advancing Alcohol Responsibility</t>
  </si>
  <si>
    <t>Vice President of Government Relations and Traffic Safety</t>
  </si>
  <si>
    <t>2345 Crystal Drive</t>
  </si>
  <si>
    <t>Suite 710</t>
  </si>
  <si>
    <t>202-637-0077</t>
  </si>
  <si>
    <t>brandy.nannini@responsibility.org</t>
  </si>
  <si>
    <t>Erin</t>
  </si>
  <si>
    <t>Holmes</t>
  </si>
  <si>
    <t>Director of Traffic Safety and Technical Writer, Criminal Justice Programs</t>
  </si>
  <si>
    <t>202-637-0571</t>
  </si>
  <si>
    <t>erin.holmes@responsibility.org</t>
  </si>
  <si>
    <t>Anne</t>
  </si>
  <si>
    <t>Readett</t>
  </si>
  <si>
    <t>Chief, Communications Section</t>
  </si>
  <si>
    <t>517-284-3120</t>
  </si>
  <si>
    <t>readetta@michigan.gov</t>
  </si>
  <si>
    <t>Cecilia</t>
  </si>
  <si>
    <t>Javier</t>
  </si>
  <si>
    <t>Guam Office of Highway Safety</t>
  </si>
  <si>
    <t>542 N. Marine Corps Drive</t>
  </si>
  <si>
    <t>Tamuning</t>
  </si>
  <si>
    <t>Guam</t>
  </si>
  <si>
    <t>671-647-4343</t>
  </si>
  <si>
    <t>cecilia.javier@dpw.guam.gov</t>
  </si>
  <si>
    <t>Leon Guerrero</t>
  </si>
  <si>
    <t>Director/GR</t>
  </si>
  <si>
    <t>Upper Tumon</t>
  </si>
  <si>
    <t>671-646-3131</t>
  </si>
  <si>
    <t>glenn.leonguerrero@dpw.guam.gov</t>
  </si>
  <si>
    <t>Matanane</t>
  </si>
  <si>
    <t>Program Coordinator IV</t>
  </si>
  <si>
    <t>671-646-3229</t>
  </si>
  <si>
    <t>therese.matanane@dpw.guam.gov</t>
  </si>
  <si>
    <t>Jane</t>
  </si>
  <si>
    <t>Almandres</t>
  </si>
  <si>
    <t>Program Coordinator I</t>
  </si>
  <si>
    <t>542 North Marine Corps Drive</t>
  </si>
  <si>
    <t>671-647-3215</t>
  </si>
  <si>
    <t>jane.almandres@dpw.guam.gov</t>
  </si>
  <si>
    <t>Christine</t>
  </si>
  <si>
    <t>Woltmann</t>
  </si>
  <si>
    <t>Atlantic County Highway Safety</t>
  </si>
  <si>
    <t>618 Sea Ranch Avenue</t>
  </si>
  <si>
    <t>Mays Landing</t>
  </si>
  <si>
    <t>609-517-1590</t>
  </si>
  <si>
    <t>czw@comcast.net</t>
  </si>
  <si>
    <t>Hollister</t>
  </si>
  <si>
    <t>From Reid's Dad</t>
  </si>
  <si>
    <t>Parent Adovcate</t>
  </si>
  <si>
    <t>24 North Main Street 2F</t>
  </si>
  <si>
    <t>West Hartford</t>
  </si>
  <si>
    <t>CT</t>
  </si>
  <si>
    <t>860-251-5601</t>
  </si>
  <si>
    <t>thollister@goodwin.com</t>
  </si>
  <si>
    <t>Georges</t>
  </si>
  <si>
    <t>The Georges Group LLC</t>
  </si>
  <si>
    <t>President and CEO</t>
  </si>
  <si>
    <t>11 Prospect Terrace</t>
  </si>
  <si>
    <t>Albany</t>
  </si>
  <si>
    <t>518-817-7823</t>
  </si>
  <si>
    <t>TheGeorgesGroup@nycap.rr.com</t>
  </si>
  <si>
    <t>Stephen</t>
  </si>
  <si>
    <t>Talpins</t>
  </si>
  <si>
    <t>Institute for Behavior and Health</t>
  </si>
  <si>
    <t>12828 Equestrian Trail</t>
  </si>
  <si>
    <t>Davie</t>
  </si>
  <si>
    <t>305-610-3585</t>
  </si>
  <si>
    <t>sktalpins@aol.com</t>
  </si>
  <si>
    <t>Lorrie</t>
  </si>
  <si>
    <t>Laing</t>
  </si>
  <si>
    <t>Principal/Transportation Safety Manager, Cambridge Systematics, Inc.</t>
  </si>
  <si>
    <t>8451 Smith Pines Drive</t>
  </si>
  <si>
    <t>Gananna</t>
  </si>
  <si>
    <t>OH</t>
  </si>
  <si>
    <t>614-269-7211</t>
  </si>
  <si>
    <t>llaing@camsys.com</t>
  </si>
  <si>
    <t>Lisa</t>
  </si>
  <si>
    <t>Robinson</t>
  </si>
  <si>
    <t>National Safety Council</t>
  </si>
  <si>
    <t>Program Manager</t>
  </si>
  <si>
    <t>6795 Lake Road</t>
  </si>
  <si>
    <t>Ponca City</t>
  </si>
  <si>
    <t>OK</t>
  </si>
  <si>
    <t>512-466-7383</t>
  </si>
  <si>
    <t>lisa.robinson@nsc.org</t>
  </si>
  <si>
    <t>Kelly</t>
  </si>
  <si>
    <t>Melhem</t>
  </si>
  <si>
    <t>Deputy Chief</t>
  </si>
  <si>
    <t>6601 Ritchie Highway, N.E.</t>
  </si>
  <si>
    <t>410-787-4075</t>
  </si>
  <si>
    <t>kmelhem@mdot.state.md.us</t>
  </si>
  <si>
    <t>Mary</t>
  </si>
  <si>
    <t>Harmon</t>
  </si>
  <si>
    <t>Section Chief, Finance &amp; Information Systems Section</t>
  </si>
  <si>
    <t>410-787-4050</t>
  </si>
  <si>
    <t>mharmon@mdot.state.md.us</t>
  </si>
  <si>
    <t>Donna</t>
  </si>
  <si>
    <t>Bean</t>
  </si>
  <si>
    <t>New Hampshire Office of Highway Safety</t>
  </si>
  <si>
    <t>Field Representative</t>
  </si>
  <si>
    <t>33 Hazen Drive, 2nd Fl</t>
  </si>
  <si>
    <t>Concord</t>
  </si>
  <si>
    <t>NH</t>
  </si>
  <si>
    <t>603-271-6708</t>
  </si>
  <si>
    <t>donna.bean@dos.nh.gov</t>
  </si>
  <si>
    <t>Amy</t>
  </si>
  <si>
    <t>Nevada Office of Traffic Safety</t>
  </si>
  <si>
    <t>Administrator</t>
  </si>
  <si>
    <t>107 Jacobsen Way</t>
  </si>
  <si>
    <t>Carson City</t>
  </si>
  <si>
    <t>NV</t>
  </si>
  <si>
    <t>Victoria</t>
  </si>
  <si>
    <t>Hauan</t>
  </si>
  <si>
    <t>775-684-7478</t>
  </si>
  <si>
    <t>vehauan@dps.state.nv.us</t>
  </si>
  <si>
    <t>Kevin</t>
  </si>
  <si>
    <t>Honea</t>
  </si>
  <si>
    <t>Nevada Highway Patrol</t>
  </si>
  <si>
    <t>357 Hammill Lane</t>
  </si>
  <si>
    <t>Reno</t>
  </si>
  <si>
    <t>702-985-5497</t>
  </si>
  <si>
    <t>khonea@dps.state.nv.us</t>
  </si>
  <si>
    <t xml:space="preserve">Lawrence </t>
  </si>
  <si>
    <t xml:space="preserve">Robertson </t>
  </si>
  <si>
    <t>Indian Highway Safety Program</t>
  </si>
  <si>
    <t>Program Director</t>
  </si>
  <si>
    <t xml:space="preserve">1001 Indian School Rd NW </t>
  </si>
  <si>
    <t>Albuquerque</t>
  </si>
  <si>
    <t>NM</t>
  </si>
  <si>
    <t>505-563-3780</t>
  </si>
  <si>
    <t>kimberly.blanchard@bia.gov</t>
  </si>
  <si>
    <t>1001 Indian School Rd NW</t>
  </si>
  <si>
    <t>Maya</t>
  </si>
  <si>
    <t>Kwon</t>
  </si>
  <si>
    <t xml:space="preserve">Indian Highway Safety </t>
  </si>
  <si>
    <t>Program Analyst</t>
  </si>
  <si>
    <t>Sara</t>
  </si>
  <si>
    <t>Vermillion</t>
  </si>
  <si>
    <t>GAO</t>
  </si>
  <si>
    <t>Assistant Director</t>
  </si>
  <si>
    <t>441 G ST NW</t>
  </si>
  <si>
    <t>202-512-9913</t>
  </si>
  <si>
    <t>VermillionS@gao.gov</t>
  </si>
  <si>
    <t>Katherine</t>
  </si>
  <si>
    <t>Hamer</t>
  </si>
  <si>
    <t>Senior Analyst</t>
  </si>
  <si>
    <t>441 G St. NW</t>
  </si>
  <si>
    <t>202-512-3824</t>
  </si>
  <si>
    <t>HamerK@gao.gov</t>
  </si>
  <si>
    <t>Laura</t>
  </si>
  <si>
    <t>Sonderup</t>
  </si>
  <si>
    <t>Heinrich Marketing, Inc.</t>
  </si>
  <si>
    <t>Managing Director</t>
  </si>
  <si>
    <t>2228 Blake Street</t>
  </si>
  <si>
    <t>#200</t>
  </si>
  <si>
    <t>303-239-5235</t>
  </si>
  <si>
    <t>lsonderup@heinrich.com</t>
  </si>
  <si>
    <t>Woodrow</t>
  </si>
  <si>
    <t>White</t>
  </si>
  <si>
    <t>Jones</t>
  </si>
  <si>
    <t>III</t>
  </si>
  <si>
    <t>Maryland Transporation Authority Police</t>
  </si>
  <si>
    <t>Colonel</t>
  </si>
  <si>
    <t>5436 Whitehall Road</t>
  </si>
  <si>
    <t>Cambridge</t>
  </si>
  <si>
    <t>443-789-7341</t>
  </si>
  <si>
    <t>wjones1@mdta.state.md.us</t>
  </si>
  <si>
    <t>Morris</t>
  </si>
  <si>
    <t>Riverdale Park Police Department</t>
  </si>
  <si>
    <t>5004 Queensbury Road</t>
  </si>
  <si>
    <t>Riverdale</t>
  </si>
  <si>
    <t>301-832-1274</t>
  </si>
  <si>
    <t>dmorris@riverdaleparkmd.gov</t>
  </si>
  <si>
    <t>Arthur</t>
  </si>
  <si>
    <t>Kinsman</t>
  </si>
  <si>
    <t>NHTSA</t>
  </si>
  <si>
    <t>Regional Administrator</t>
  </si>
  <si>
    <t>55 Broadway</t>
  </si>
  <si>
    <t>9th floor</t>
  </si>
  <si>
    <t>617-494-1764</t>
  </si>
  <si>
    <t>arthur.kinsman@dot.gov</t>
  </si>
  <si>
    <t>Timothy</t>
  </si>
  <si>
    <t>Cameron</t>
  </si>
  <si>
    <t>St. Mary's County Sheriff</t>
  </si>
  <si>
    <t>Sheriff</t>
  </si>
  <si>
    <t>23150 Leonard Hall Drive</t>
  </si>
  <si>
    <t>Leonardtown</t>
  </si>
  <si>
    <t>301-475-4200</t>
  </si>
  <si>
    <t>tim.cameron@stmarysmd.com</t>
  </si>
  <si>
    <t>Minevitz</t>
  </si>
  <si>
    <t>Texas Municipal Courts Education Center</t>
  </si>
  <si>
    <t>Program Attorney &amp; Grant Administrator</t>
  </si>
  <si>
    <t>2210 Hancock Drive</t>
  </si>
  <si>
    <t>Austin</t>
  </si>
  <si>
    <t>512-320-8274</t>
  </si>
  <si>
    <t>ned@tmcec.com</t>
  </si>
  <si>
    <t>Erik</t>
  </si>
  <si>
    <t>Strickland</t>
  </si>
  <si>
    <t>NTSB</t>
  </si>
  <si>
    <t>Safety Specialist</t>
  </si>
  <si>
    <t>490 L'Enfant Plaza, SW</t>
  </si>
  <si>
    <t>202-314-6610</t>
  </si>
  <si>
    <t>erik.strickland@ntsb.gov</t>
  </si>
  <si>
    <t>Leah</t>
  </si>
  <si>
    <t>Walton</t>
  </si>
  <si>
    <t>Transportation Safety Specialist</t>
  </si>
  <si>
    <t>202-314-6609</t>
  </si>
  <si>
    <t>leah.walton@ntsb.gov</t>
  </si>
  <si>
    <t>Lung</t>
  </si>
  <si>
    <t>Hawaii Department of Transportation</t>
  </si>
  <si>
    <t>Law Enforcement Liaison</t>
  </si>
  <si>
    <t>Aliiaimoku Building</t>
  </si>
  <si>
    <t>869 Punchbowl Street - Room 405</t>
  </si>
  <si>
    <t>Honolulu</t>
  </si>
  <si>
    <t>HI</t>
  </si>
  <si>
    <t>808-228-1805</t>
  </si>
  <si>
    <t>robert.kyf.lung@hawaii.gov</t>
  </si>
  <si>
    <t>Ivey</t>
  </si>
  <si>
    <t>Tennessee Highway Safety Office</t>
  </si>
  <si>
    <t>Deputy Director/Program Management Administrator</t>
  </si>
  <si>
    <t>312 Rosa L. Parks Avenue</t>
  </si>
  <si>
    <t>Tennessee Tower - 25th Floor</t>
  </si>
  <si>
    <t>Nashville</t>
  </si>
  <si>
    <t>TN</t>
  </si>
  <si>
    <t>615-253-1781</t>
  </si>
  <si>
    <t>jason.ivey@tn.gov</t>
  </si>
  <si>
    <t>Mandie</t>
  </si>
  <si>
    <t>Dell</t>
  </si>
  <si>
    <t>Administrative Assistant</t>
  </si>
  <si>
    <t>621 8th Avenue, SE</t>
  </si>
  <si>
    <t>Suite 409</t>
  </si>
  <si>
    <t>360-725-9883</t>
  </si>
  <si>
    <t>mdell@wtsc.wa.gov</t>
  </si>
  <si>
    <t>Hager</t>
  </si>
  <si>
    <t>Assistant Program Management Administrator</t>
  </si>
  <si>
    <t>312 Rosa L. Parks Ave</t>
  </si>
  <si>
    <t>TN Tower, 25th Floor</t>
  </si>
  <si>
    <t>615-741-2589</t>
  </si>
  <si>
    <t>kevin.hager@tn.gov</t>
  </si>
  <si>
    <t>Dillard</t>
  </si>
  <si>
    <t>LEL Coordinator</t>
  </si>
  <si>
    <t>6312 Levi Road</t>
  </si>
  <si>
    <t>Hixson</t>
  </si>
  <si>
    <t>423-421-3443</t>
  </si>
  <si>
    <t>steve.dillard@tn.gov</t>
  </si>
  <si>
    <t>Sharmila</t>
  </si>
  <si>
    <t>Patel</t>
  </si>
  <si>
    <t>Tennessee Tower, 25th Floor</t>
  </si>
  <si>
    <t>615-253-1063</t>
  </si>
  <si>
    <t>Sharmila.patel@tn.gov</t>
  </si>
  <si>
    <t>Shandi</t>
  </si>
  <si>
    <t>25th Floor, TN Tower</t>
  </si>
  <si>
    <t>615-253-5520</t>
  </si>
  <si>
    <t>shandi.smith@tn.gov</t>
  </si>
  <si>
    <t>Beth</t>
  </si>
  <si>
    <t>615-532-9953</t>
  </si>
  <si>
    <t>beth.vernon@tn.gov</t>
  </si>
  <si>
    <t>Bourbon County Sheriffs Office</t>
  </si>
  <si>
    <t>301 Main</t>
  </si>
  <si>
    <t>Paris</t>
  </si>
  <si>
    <t>859-987-2130</t>
  </si>
  <si>
    <t>mjones@bourbonsheriff.org</t>
  </si>
  <si>
    <t>Tony</t>
  </si>
  <si>
    <t>Mangan</t>
  </si>
  <si>
    <t>Public Information Officer</t>
  </si>
  <si>
    <t>605-773-6196</t>
  </si>
  <si>
    <t>Tony.Mangan@state.sd.us</t>
  </si>
  <si>
    <t>Nantel</t>
  </si>
  <si>
    <t xml:space="preserve">VP Communication &amp; Advocay </t>
  </si>
  <si>
    <t>1121 Spring Lake Dr</t>
  </si>
  <si>
    <t>Itasca</t>
  </si>
  <si>
    <t>630-775-2164</t>
  </si>
  <si>
    <t>kelly.nantel@nsc.org</t>
  </si>
  <si>
    <t>Marcum</t>
  </si>
  <si>
    <t>Madison County Sheriff's Office</t>
  </si>
  <si>
    <t>135 West Irvine Street</t>
  </si>
  <si>
    <t>Richmond</t>
  </si>
  <si>
    <t>859-623-1511</t>
  </si>
  <si>
    <t>mike.marcum@madisoncountyky.us</t>
  </si>
  <si>
    <t>10 Park Plaza</t>
  </si>
  <si>
    <t>Jeffrey</t>
  </si>
  <si>
    <t>Brownell</t>
  </si>
  <si>
    <t>Senior Program Manager - Administrative Officer</t>
  </si>
  <si>
    <t>617-725-3325</t>
  </si>
  <si>
    <t>jeffrey.brownell@state.ma.us</t>
  </si>
  <si>
    <t>Murtha</t>
  </si>
  <si>
    <t>Prince George's County Police Department</t>
  </si>
  <si>
    <t>Deputy Chief of Police</t>
  </si>
  <si>
    <t>7600 Barlowe Road</t>
  </si>
  <si>
    <t>Hyattsville</t>
  </si>
  <si>
    <t>301-352-1200</t>
  </si>
  <si>
    <t>crmurtha@co.pg.md.us</t>
  </si>
  <si>
    <t>Institute of Police Technology &amp; Management</t>
  </si>
  <si>
    <t>12000 Alumni Drive</t>
  </si>
  <si>
    <t>Jacksonville</t>
  </si>
  <si>
    <t>Jenny</t>
  </si>
  <si>
    <t>Burke</t>
  </si>
  <si>
    <t>Sr. Director of Advocacy</t>
  </si>
  <si>
    <t>1121 Spring Lake Dr.</t>
  </si>
  <si>
    <t>630-775-2139</t>
  </si>
  <si>
    <t>info@nsc.org</t>
  </si>
  <si>
    <t>Treadway</t>
  </si>
  <si>
    <t>Benton Police Department</t>
  </si>
  <si>
    <t>1009 Main Street</t>
  </si>
  <si>
    <t>Benton</t>
  </si>
  <si>
    <t>270-527-3126</t>
  </si>
  <si>
    <t>wtreadway@cityofbenton.org</t>
  </si>
  <si>
    <t>Paul</t>
  </si>
  <si>
    <t>Kaminsky</t>
  </si>
  <si>
    <t>NJSACOP/NJDHTS</t>
  </si>
  <si>
    <t>State LEL</t>
  </si>
  <si>
    <t>62 Michelle La</t>
  </si>
  <si>
    <t>Hillsborough</t>
  </si>
  <si>
    <t>908-328-2227</t>
  </si>
  <si>
    <t>pkaminsky@njsacop.org</t>
  </si>
  <si>
    <t>Darrel</t>
  </si>
  <si>
    <t>Kilburn</t>
  </si>
  <si>
    <t>London Police Department</t>
  </si>
  <si>
    <t>503 South Main Street</t>
  </si>
  <si>
    <t>London</t>
  </si>
  <si>
    <t>606-878-7004</t>
  </si>
  <si>
    <t>sgtkilburn@londonpd.com</t>
  </si>
  <si>
    <t>Derek</t>
  </si>
  <si>
    <t>House</t>
  </si>
  <si>
    <t>derekhouse@londonpd.com</t>
  </si>
  <si>
    <t>Allison</t>
  </si>
  <si>
    <t>Laflamme</t>
  </si>
  <si>
    <t>Vermont Governor's Highway Safety Program</t>
  </si>
  <si>
    <t>Acting Chief</t>
  </si>
  <si>
    <t>Agency of Transportation</t>
  </si>
  <si>
    <t>One National Life Drive</t>
  </si>
  <si>
    <t>Montpelier</t>
  </si>
  <si>
    <t>VT</t>
  </si>
  <si>
    <t>802-498-8079</t>
  </si>
  <si>
    <t>allison.laflamme@vermont.gov</t>
  </si>
  <si>
    <t>Nyquist</t>
  </si>
  <si>
    <t>Director of Highway Safety</t>
  </si>
  <si>
    <t>802-828-2696</t>
  </si>
  <si>
    <t>bruce.nyquist@vermont.gov</t>
  </si>
  <si>
    <t>Bill</t>
  </si>
  <si>
    <t>Whitfield</t>
  </si>
  <si>
    <t>Missouri Traffic and Highway Safety Division</t>
  </si>
  <si>
    <t>Highway Safety Director</t>
  </si>
  <si>
    <t>P.O. Box 270</t>
  </si>
  <si>
    <t>Jefferson City</t>
  </si>
  <si>
    <t>MO</t>
  </si>
  <si>
    <t>573-751-5417</t>
  </si>
  <si>
    <t>william.whitfieldjr@modot.mo.gov</t>
  </si>
  <si>
    <t>621 8th Avenue SE</t>
  </si>
  <si>
    <t>Edica</t>
  </si>
  <si>
    <t>Esqueda</t>
  </si>
  <si>
    <t>621 8th Ave SE</t>
  </si>
  <si>
    <t>360-725-9886</t>
  </si>
  <si>
    <t>eesqueda@wtsc.wa.gov</t>
  </si>
  <si>
    <t>Darrin</t>
  </si>
  <si>
    <t>Grondel</t>
  </si>
  <si>
    <t>360-725-9899</t>
  </si>
  <si>
    <t>dgrondel@wtsc.wa.gov</t>
  </si>
  <si>
    <t>Erika</t>
  </si>
  <si>
    <t>Mascorro</t>
  </si>
  <si>
    <t>360-725-9882</t>
  </si>
  <si>
    <t>emascorro@wtsc.wa.gov</t>
  </si>
  <si>
    <t>Scott</t>
  </si>
  <si>
    <t>Waller</t>
  </si>
  <si>
    <t>Project Manager</t>
  </si>
  <si>
    <t>360-725-9885</t>
  </si>
  <si>
    <t>swaller@wtsc.wa.gov</t>
  </si>
  <si>
    <t>Wunderlich</t>
  </si>
  <si>
    <t>Texas A&amp;M Transportation Institute</t>
  </si>
  <si>
    <t>Center Director</t>
  </si>
  <si>
    <t>3135 TAMU</t>
  </si>
  <si>
    <t>Texas A&amp;M University</t>
  </si>
  <si>
    <t>College Station</t>
  </si>
  <si>
    <t>979-845-2095</t>
  </si>
  <si>
    <t>r-wunderlich@tamu.edu</t>
  </si>
  <si>
    <t>Kyle</t>
  </si>
  <si>
    <t>Callahan</t>
  </si>
  <si>
    <t>Morehead Police Department</t>
  </si>
  <si>
    <t>Captain</t>
  </si>
  <si>
    <t>105 East Main Street</t>
  </si>
  <si>
    <t>Morehead</t>
  </si>
  <si>
    <t>606-784-7511</t>
  </si>
  <si>
    <t>kcallahan@cityofmorehead.net</t>
  </si>
  <si>
    <t>Lora</t>
  </si>
  <si>
    <t>Hollingsworth</t>
  </si>
  <si>
    <t>P.E.</t>
  </si>
  <si>
    <t>Florida State Safety Office</t>
  </si>
  <si>
    <t>Chief Safety Officer</t>
  </si>
  <si>
    <t>605 Suwannee Street</t>
  </si>
  <si>
    <t>MS #53</t>
  </si>
  <si>
    <t>Tallahassee</t>
  </si>
  <si>
    <t>850-414-4177</t>
  </si>
  <si>
    <t>lora.hollingsworth@dot.state.fl.us</t>
  </si>
  <si>
    <t>Jon</t>
  </si>
  <si>
    <t>Henderson</t>
  </si>
  <si>
    <t>Lakeside Park-Crestview Hills Police Department</t>
  </si>
  <si>
    <t>40 Town Center Blvd</t>
  </si>
  <si>
    <t>Crestview Hills</t>
  </si>
  <si>
    <t>859-331-5368</t>
  </si>
  <si>
    <t>rleberecht@lpchpd.com</t>
  </si>
  <si>
    <t>Leanna</t>
  </si>
  <si>
    <t>Depue</t>
  </si>
  <si>
    <t>Leanna Depue</t>
  </si>
  <si>
    <t>286 Archstone Loop</t>
  </si>
  <si>
    <t>Belton</t>
  </si>
  <si>
    <t>573-301-1501</t>
  </si>
  <si>
    <t>leanna.depue68@gmail.com</t>
  </si>
  <si>
    <t>Shannon</t>
  </si>
  <si>
    <t>Campbellsville Police Department</t>
  </si>
  <si>
    <t>100 Terri Street</t>
  </si>
  <si>
    <t>Campbellsville</t>
  </si>
  <si>
    <t>270-465-4122</t>
  </si>
  <si>
    <t>shannon.wilson@campbellsville.us</t>
  </si>
  <si>
    <t>Hope</t>
  </si>
  <si>
    <t>Lochridge</t>
  </si>
  <si>
    <t>hope@tmcec.com</t>
  </si>
  <si>
    <t>SCRAM Systems</t>
  </si>
  <si>
    <t>Littleton</t>
  </si>
  <si>
    <t>Gahler</t>
  </si>
  <si>
    <t>Harford County Sheriff's Office</t>
  </si>
  <si>
    <t>2nd floor</t>
  </si>
  <si>
    <t>45 South Main St</t>
  </si>
  <si>
    <t>Bel Air</t>
  </si>
  <si>
    <t>410-638-4446</t>
  </si>
  <si>
    <t>gahlerj@harfordsheriff.org</t>
  </si>
  <si>
    <t>Minnesota Office of Traffic Safety</t>
  </si>
  <si>
    <t>445 Minnesota St.</t>
  </si>
  <si>
    <t>St. Paul</t>
  </si>
  <si>
    <t>Berger</t>
  </si>
  <si>
    <t>445 Minnesota Street</t>
  </si>
  <si>
    <t>Town Square #150</t>
  </si>
  <si>
    <t>651-201-7061</t>
  </si>
  <si>
    <t>donna.berger@state.mn.us</t>
  </si>
  <si>
    <t>Gynger</t>
  </si>
  <si>
    <t>Steele</t>
  </si>
  <si>
    <t>Research and Evaluation Manager</t>
  </si>
  <si>
    <t>651-201-7082</t>
  </si>
  <si>
    <t>gynger.steele@state.mn.us</t>
  </si>
  <si>
    <t>Kathleen</t>
  </si>
  <si>
    <t>Haney</t>
  </si>
  <si>
    <t>Traffic Records Coordinator</t>
  </si>
  <si>
    <t>651-201-7064</t>
  </si>
  <si>
    <t>kathleen.haney@state.mn.us</t>
  </si>
  <si>
    <t>Susie</t>
  </si>
  <si>
    <t>Traffic Safety Programs Manager</t>
  </si>
  <si>
    <t>651-201-7071</t>
  </si>
  <si>
    <t>Susie.Palmer@state.mn.us</t>
  </si>
  <si>
    <t>Braunstein</t>
  </si>
  <si>
    <t>Together for Safer Roads</t>
  </si>
  <si>
    <t>c/o JPA Health Communications</t>
  </si>
  <si>
    <t>1420 K Street NW, Suite 1050</t>
  </si>
  <si>
    <t>631-291-1356</t>
  </si>
  <si>
    <t>DBraunstein@togetherforsaferroads.org</t>
  </si>
  <si>
    <t>Robertson</t>
  </si>
  <si>
    <t>National Highway Traffic Safety Administration</t>
  </si>
  <si>
    <t>1200 New Jersey Ave, SE</t>
  </si>
  <si>
    <t>Krol</t>
  </si>
  <si>
    <t>Pennsylvania Bureau of Maintenance and Operations</t>
  </si>
  <si>
    <t>Manager, Driver's Safety Division</t>
  </si>
  <si>
    <t>1101 South Front Street</t>
  </si>
  <si>
    <t>4th Floor</t>
  </si>
  <si>
    <t>Harrisburg</t>
  </si>
  <si>
    <t>PA</t>
  </si>
  <si>
    <t>717-346-1907</t>
  </si>
  <si>
    <t>Lkrol@pa.gov</t>
  </si>
  <si>
    <t>Alicia</t>
  </si>
  <si>
    <t>Sledge</t>
  </si>
  <si>
    <t>Program Management Section Manager</t>
  </si>
  <si>
    <t>7150 Harris Drive</t>
  </si>
  <si>
    <t>Dimondale</t>
  </si>
  <si>
    <t>517-284-3140</t>
  </si>
  <si>
    <t>sledgea@michigan.gov</t>
  </si>
  <si>
    <t>Angela</t>
  </si>
  <si>
    <t>Coleman</t>
  </si>
  <si>
    <t>Commission on VASAP</t>
  </si>
  <si>
    <t xml:space="preserve">Executive Director </t>
  </si>
  <si>
    <t>701 East Franklin Street</t>
  </si>
  <si>
    <t>Suite 1110</t>
  </si>
  <si>
    <t>804-786-5895</t>
  </si>
  <si>
    <t>acoleman@vasap.virginia.gov</t>
  </si>
  <si>
    <t>Charlene</t>
  </si>
  <si>
    <t>Motley</t>
  </si>
  <si>
    <t xml:space="preserve">Field Services Supervisor </t>
  </si>
  <si>
    <t>cmotley@vasap.virginia.gov</t>
  </si>
  <si>
    <t xml:space="preserve">Christopher </t>
  </si>
  <si>
    <t>Special Programs Coordinator</t>
  </si>
  <si>
    <t>cmorris@vasap.virginia.gov</t>
  </si>
  <si>
    <t>Troy</t>
  </si>
  <si>
    <t>Costales</t>
  </si>
  <si>
    <t>Oregon Transportation Safety Division</t>
  </si>
  <si>
    <t>Governor's Representative and Administrator</t>
  </si>
  <si>
    <t>Transportation Safety Division - MS3</t>
  </si>
  <si>
    <t>4040 Fairview Industrial Drive SE</t>
  </si>
  <si>
    <t>Salem</t>
  </si>
  <si>
    <t>OR</t>
  </si>
  <si>
    <t>503-986-4192</t>
  </si>
  <si>
    <t>Troy.e.costales@state.or.us</t>
  </si>
  <si>
    <t>Trenda</t>
  </si>
  <si>
    <t>McPherson</t>
  </si>
  <si>
    <t>State Bicycle/Pedestrian Safety Program Manager</t>
  </si>
  <si>
    <t>MS 53</t>
  </si>
  <si>
    <t>850-414-4025</t>
  </si>
  <si>
    <t>trenda.mcpherson@dot.state.fl.us</t>
  </si>
  <si>
    <t>Bilkey</t>
  </si>
  <si>
    <t>Indiana State Police</t>
  </si>
  <si>
    <t>100 N. Senate Avenue</t>
  </si>
  <si>
    <t>317-232-8245</t>
  </si>
  <si>
    <t>vjohnson@isp.in.gov</t>
  </si>
  <si>
    <t>Terry</t>
  </si>
  <si>
    <t>Treon</t>
  </si>
  <si>
    <t>Tyler</t>
  </si>
  <si>
    <t>Free</t>
  </si>
  <si>
    <t>Daviess County Sheriff's Office</t>
  </si>
  <si>
    <t>Corporal</t>
  </si>
  <si>
    <t>212 St Ann St #103</t>
  </si>
  <si>
    <t>Owensboro</t>
  </si>
  <si>
    <t>270-685-8444</t>
  </si>
  <si>
    <t>tfree139@aol.com</t>
  </si>
  <si>
    <t>Glass</t>
  </si>
  <si>
    <t>Transportation Planning Manager</t>
  </si>
  <si>
    <t>Highway Safety &amp; Traffic Operations</t>
  </si>
  <si>
    <t>400 North Street, 6th Floor</t>
  </si>
  <si>
    <t>717-783-2113</t>
  </si>
  <si>
    <t>thglass@pa.gov</t>
  </si>
  <si>
    <t>Emily</t>
  </si>
  <si>
    <t>Bremer</t>
  </si>
  <si>
    <t>Transportation Planning Specialist</t>
  </si>
  <si>
    <t>P.O. Box 2047</t>
  </si>
  <si>
    <t>717-787-6899</t>
  </si>
  <si>
    <t>thmack@pa.gov</t>
  </si>
  <si>
    <t>Levi</t>
  </si>
  <si>
    <t>Mattingly</t>
  </si>
  <si>
    <t>Radcliff Police Department</t>
  </si>
  <si>
    <t>220 Freedoms Way</t>
  </si>
  <si>
    <t>Radcliff</t>
  </si>
  <si>
    <t>270-351-4479</t>
  </si>
  <si>
    <t>radcliffpdlmattingly@gmail.com</t>
  </si>
  <si>
    <t>Oklahoma City</t>
  </si>
  <si>
    <t>Wyatt</t>
  </si>
  <si>
    <t>Rossell</t>
  </si>
  <si>
    <t>radcliffpdwrossell@gmail.com</t>
  </si>
  <si>
    <t>Nicky</t>
  </si>
  <si>
    <t>Knight</t>
  </si>
  <si>
    <t>Calloway County Sheriff's Office</t>
  </si>
  <si>
    <t>701 Olive St</t>
  </si>
  <si>
    <t>Murray</t>
  </si>
  <si>
    <t>270-753-3151</t>
  </si>
  <si>
    <t>n.knight@callkyso.com</t>
  </si>
  <si>
    <t>Ellen</t>
  </si>
  <si>
    <t>Walston</t>
  </si>
  <si>
    <t>Vidant Medical Center</t>
  </si>
  <si>
    <t>Injury Prevention Program Coordinator</t>
  </si>
  <si>
    <t>2100 Stantonsburg Road</t>
  </si>
  <si>
    <t>Doctor's Park #2</t>
  </si>
  <si>
    <t>Greenville</t>
  </si>
  <si>
    <t>252-847-8532</t>
  </si>
  <si>
    <t>Jennifer</t>
  </si>
  <si>
    <t>Wobbleton</t>
  </si>
  <si>
    <t>Program Coordinator</t>
  </si>
  <si>
    <t>252-847-6298</t>
  </si>
  <si>
    <t>jennifer.wobbleton@vidanthealth.com</t>
  </si>
  <si>
    <t>Kurtiak</t>
  </si>
  <si>
    <t>USA Combat Readiness Center</t>
  </si>
  <si>
    <t>Building 4905 Ruf Ave.</t>
  </si>
  <si>
    <t>Fort Rucker</t>
  </si>
  <si>
    <t>AL</t>
  </si>
  <si>
    <t>334-255-2892</t>
  </si>
  <si>
    <t>stephen.l.kurtiak.civ@mail.mil</t>
  </si>
  <si>
    <t>Ricky</t>
  </si>
  <si>
    <t>Younce</t>
  </si>
  <si>
    <t>Pikeville Police Department</t>
  </si>
  <si>
    <t>CAPTAIN</t>
  </si>
  <si>
    <t>101 Division Street</t>
  </si>
  <si>
    <t>Pikeville</t>
  </si>
  <si>
    <t>606-437-5111</t>
  </si>
  <si>
    <t>ricky.younce@pikevilleky.gov</t>
  </si>
  <si>
    <t>Russell</t>
  </si>
  <si>
    <t>Blankenship</t>
  </si>
  <si>
    <t>Russell.blankenship@pikevilleky.gov</t>
  </si>
  <si>
    <t>Tina</t>
  </si>
  <si>
    <t>Miller</t>
  </si>
  <si>
    <t>200 Salina Meadows Pkwy</t>
  </si>
  <si>
    <t>Syracuse</t>
  </si>
  <si>
    <t>315-385-0047</t>
  </si>
  <si>
    <t>tina.miller@nsc.org</t>
  </si>
  <si>
    <t>Walter</t>
  </si>
  <si>
    <t>Beckman</t>
  </si>
  <si>
    <t>US Amy Combat Readiness Center</t>
  </si>
  <si>
    <t>Sr. Loss Prevention Manager</t>
  </si>
  <si>
    <t>Bldg. 4905 Ruf Ave.</t>
  </si>
  <si>
    <t>334-255-3039</t>
  </si>
  <si>
    <t>walter.k.beckman.civ@mail.mil</t>
  </si>
  <si>
    <t>Taylor</t>
  </si>
  <si>
    <t>Louisville</t>
  </si>
  <si>
    <t>Bridget</t>
  </si>
  <si>
    <t>Arkansas Highway Safety Office</t>
  </si>
  <si>
    <t>1 State Police Plaza Drive</t>
  </si>
  <si>
    <t>501-618-8356</t>
  </si>
  <si>
    <t>bridget.white@asp.arkansas.gov</t>
  </si>
  <si>
    <t>Vic</t>
  </si>
  <si>
    <t>Donoho</t>
  </si>
  <si>
    <t>505 Deaderick Street</t>
  </si>
  <si>
    <t>Suite 1800</t>
  </si>
  <si>
    <t>vic.donoho@tn.gov</t>
  </si>
  <si>
    <t>Vicki</t>
  </si>
  <si>
    <t>Harper</t>
  </si>
  <si>
    <t>State Farm</t>
  </si>
  <si>
    <t>Corporate Public Affairs</t>
  </si>
  <si>
    <t>One State Farm Plaza</t>
  </si>
  <si>
    <t>B-4</t>
  </si>
  <si>
    <t>Bloomington</t>
  </si>
  <si>
    <t>309-766-9743</t>
  </si>
  <si>
    <t>vicki.harper.hycc@statefarm.com</t>
  </si>
  <si>
    <t>Fred</t>
  </si>
  <si>
    <t>Zwonechek</t>
  </si>
  <si>
    <t>Nebraska Department of Transportation Highway Safety Office</t>
  </si>
  <si>
    <t>P.O. Box 94612</t>
  </si>
  <si>
    <t>Lincoln</t>
  </si>
  <si>
    <t>NE</t>
  </si>
  <si>
    <t>402-471-2515</t>
  </si>
  <si>
    <t>fred.zwonechek@nebraska.gov</t>
  </si>
  <si>
    <t>Danielle</t>
  </si>
  <si>
    <t>Blackshear</t>
  </si>
  <si>
    <t>Federal Highway Administration</t>
  </si>
  <si>
    <t>3500 Financial Plaza</t>
  </si>
  <si>
    <t>Suite 400</t>
  </si>
  <si>
    <t>850-553-2221</t>
  </si>
  <si>
    <t>danielle.blackshear@dot.gov</t>
  </si>
  <si>
    <t>Bernat</t>
  </si>
  <si>
    <t>paul.bernat@state.de.us</t>
  </si>
  <si>
    <t>Whetsel</t>
  </si>
  <si>
    <t>Oklahoma County Sheriff's Office</t>
  </si>
  <si>
    <t>Sheriff (retired)</t>
  </si>
  <si>
    <t>811 Hidden Valley Cir</t>
  </si>
  <si>
    <t>Choctaw</t>
  </si>
  <si>
    <t>405-627-8911</t>
  </si>
  <si>
    <t>jw8911@cox.net</t>
  </si>
  <si>
    <t>Chuck</t>
  </si>
  <si>
    <t>DeWeese</t>
  </si>
  <si>
    <t>New York Governor's Traffic Safety Committee</t>
  </si>
  <si>
    <t>Assistant Commissioner</t>
  </si>
  <si>
    <t>6 Empire State Plaza</t>
  </si>
  <si>
    <t>Room 410</t>
  </si>
  <si>
    <t>518-474-0972</t>
  </si>
  <si>
    <t>chuck.deweese@dmv.ny.gov</t>
  </si>
  <si>
    <t>Acciardo</t>
  </si>
  <si>
    <t>Laurel County Sheriff's Office</t>
  </si>
  <si>
    <t>203 South Broad Street</t>
  </si>
  <si>
    <t>606-864-6600</t>
  </si>
  <si>
    <t>lso1133@windstream.net</t>
  </si>
  <si>
    <t>Charles</t>
  </si>
  <si>
    <t>Matthews</t>
  </si>
  <si>
    <t>Pineville Police Department</t>
  </si>
  <si>
    <t>P.O. Box 688</t>
  </si>
  <si>
    <t>Pineville</t>
  </si>
  <si>
    <t>606-337-2207</t>
  </si>
  <si>
    <t>pinevillepd@hotmail.com</t>
  </si>
  <si>
    <t>Sandoval</t>
  </si>
  <si>
    <t>New Mexico Department of Transportation</t>
  </si>
  <si>
    <t>Executive Manager, Modal Divisions</t>
  </si>
  <si>
    <t>1120 Cerrillos Road</t>
  </si>
  <si>
    <t>SB1-South Building</t>
  </si>
  <si>
    <t>Santa Fe</t>
  </si>
  <si>
    <t>505-827-0427</t>
  </si>
  <si>
    <t>michael.sandoval1@state.nm.us</t>
  </si>
  <si>
    <t>Drew</t>
  </si>
  <si>
    <t>Annas</t>
  </si>
  <si>
    <t>Huddle Inc.</t>
  </si>
  <si>
    <t>Director of Corporate Patnerships</t>
  </si>
  <si>
    <t>6445 Shiloh Road</t>
  </si>
  <si>
    <t>Ste. B</t>
  </si>
  <si>
    <t>Alpharetta</t>
  </si>
  <si>
    <t>GA</t>
  </si>
  <si>
    <t>678-218-0909</t>
  </si>
  <si>
    <t>dannas@huddleinc.com</t>
  </si>
  <si>
    <t>Kara</t>
  </si>
  <si>
    <t>Macek</t>
  </si>
  <si>
    <t>Senior Director of Communications and Programs</t>
  </si>
  <si>
    <t>202-789-0942 x140</t>
  </si>
  <si>
    <t>kmacek@ghsa.org</t>
  </si>
  <si>
    <t>Debra</t>
  </si>
  <si>
    <t>Hollis</t>
  </si>
  <si>
    <t>501-618-8190</t>
  </si>
  <si>
    <t>debra.hollis@asp.arkansas.gov</t>
  </si>
  <si>
    <t>DeCourcy</t>
  </si>
  <si>
    <t>NHTSA Region 7</t>
  </si>
  <si>
    <t>901 Locust, RM 466</t>
  </si>
  <si>
    <t>Kansas City</t>
  </si>
  <si>
    <t>816-329-3900</t>
  </si>
  <si>
    <t>susan.decourcy@dot.gov</t>
  </si>
  <si>
    <t>Travis</t>
  </si>
  <si>
    <t>Gibbons</t>
  </si>
  <si>
    <t>The Beer Institute</t>
  </si>
  <si>
    <t>Senior Director, Health Policy &amp; Regulatory Affair</t>
  </si>
  <si>
    <t>440 1st Street NW</t>
  </si>
  <si>
    <t>Suite 350</t>
  </si>
  <si>
    <t>202-737-2337</t>
  </si>
  <si>
    <t>tgibbons@beerinstitute.org</t>
  </si>
  <si>
    <t>Pfetzer</t>
  </si>
  <si>
    <t>Highway Safety Research Group</t>
  </si>
  <si>
    <t>Research Associate</t>
  </si>
  <si>
    <t>Louisiana State University</t>
  </si>
  <si>
    <t>3535 Nicholson Extension</t>
  </si>
  <si>
    <t>Baton Rouge</t>
  </si>
  <si>
    <t>LA</t>
  </si>
  <si>
    <t>225-578-4083</t>
  </si>
  <si>
    <t>epfetz1@lsu.edu</t>
  </si>
  <si>
    <t>Dan</t>
  </si>
  <si>
    <t>Donlin</t>
  </si>
  <si>
    <t>City of Bismarck Police Department</t>
  </si>
  <si>
    <t>700 S. 9th Street</t>
  </si>
  <si>
    <t>701-355-1862</t>
  </si>
  <si>
    <t>Mike</t>
  </si>
  <si>
    <t>Jamie</t>
  </si>
  <si>
    <t>Rogers</t>
  </si>
  <si>
    <t>Russell Springs Police Department</t>
  </si>
  <si>
    <t>Assist. Chief</t>
  </si>
  <si>
    <t>487 Main Street</t>
  </si>
  <si>
    <t>Russell Springs</t>
  </si>
  <si>
    <t>270-866-3636</t>
  </si>
  <si>
    <t>jamrog751@hotmail.com</t>
  </si>
  <si>
    <t>Margarita</t>
  </si>
  <si>
    <t>Camacho</t>
  </si>
  <si>
    <t>Officer-in-Charge, Highway Safety Office</t>
  </si>
  <si>
    <t>PO Box 500791</t>
  </si>
  <si>
    <t>Northern Mariana Islands</t>
  </si>
  <si>
    <t>670-483-5811</t>
  </si>
  <si>
    <t>mdlgcamacho@dps.gov.mp</t>
  </si>
  <si>
    <t>Arinta</t>
  </si>
  <si>
    <t>670-664-9120</t>
  </si>
  <si>
    <t>ajcamacho@dps.gov.mp</t>
  </si>
  <si>
    <t>Catherine</t>
  </si>
  <si>
    <t>Muna</t>
  </si>
  <si>
    <t>Statistical Technician</t>
  </si>
  <si>
    <t>kmuna@dps.gov.mp</t>
  </si>
  <si>
    <t>Saunders</t>
  </si>
  <si>
    <t>Va Dept of Motor Vehicles</t>
  </si>
  <si>
    <t>2300 W Broad St</t>
  </si>
  <si>
    <t>804-367-6641</t>
  </si>
  <si>
    <t>john.saunders@dmv.virginia.gov</t>
  </si>
  <si>
    <t>Angelisa</t>
  </si>
  <si>
    <t>804-367-2026</t>
  </si>
  <si>
    <t>angelisa.jennings@dmv.virginia.gov</t>
  </si>
  <si>
    <t xml:space="preserve">Brian </t>
  </si>
  <si>
    <t>Ianuzzi</t>
  </si>
  <si>
    <t>Pennsylvania State Police</t>
  </si>
  <si>
    <t>1800 Elmerton Avenue</t>
  </si>
  <si>
    <t>Bureau of Patrol</t>
  </si>
  <si>
    <t>717-705-3867</t>
  </si>
  <si>
    <t>bianuzzi@pa.gov</t>
  </si>
  <si>
    <t>Joshua</t>
  </si>
  <si>
    <t>Hudnall</t>
  </si>
  <si>
    <t>Scott County Sheriff's Office</t>
  </si>
  <si>
    <t>120 N. Hamilton Street</t>
  </si>
  <si>
    <t>Georgetown</t>
  </si>
  <si>
    <t>502-863-7855</t>
  </si>
  <si>
    <t>jhudnall@scsoky.com</t>
  </si>
  <si>
    <t>Chris</t>
  </si>
  <si>
    <t>Murphy</t>
  </si>
  <si>
    <t>Administrator - Region 9</t>
  </si>
  <si>
    <t>650 Capitol Mall</t>
  </si>
  <si>
    <t>Suite 5-400</t>
  </si>
  <si>
    <t>Sacramento</t>
  </si>
  <si>
    <t>916-479-2199</t>
  </si>
  <si>
    <t>chris.murphy@dot.gov</t>
  </si>
  <si>
    <t>Vido</t>
  </si>
  <si>
    <t>KY Dept. of Alcoholic Beverage Control</t>
  </si>
  <si>
    <t>Director of Enforcement</t>
  </si>
  <si>
    <t xml:space="preserve">1003 Twilight Trail </t>
  </si>
  <si>
    <t>502-782-1007</t>
  </si>
  <si>
    <t>paul.vido@ky.gov</t>
  </si>
  <si>
    <t>Geraci</t>
  </si>
  <si>
    <t>Regional Administrator, Region 2</t>
  </si>
  <si>
    <t>Kendall Square - RTV-8E</t>
  </si>
  <si>
    <t>617-494-3427</t>
  </si>
  <si>
    <t>michael.geraci@dot.gov</t>
  </si>
  <si>
    <t>Guerrero</t>
  </si>
  <si>
    <t>Commissioner and Governors Representative</t>
  </si>
  <si>
    <t>raguerrero@dps.gov.mp</t>
  </si>
  <si>
    <t>Baker</t>
  </si>
  <si>
    <t>US DOT NHTSA</t>
  </si>
  <si>
    <t>10 South Howard Street</t>
  </si>
  <si>
    <t>Suite 6700</t>
  </si>
  <si>
    <t>410-962-0090</t>
  </si>
  <si>
    <t>Gail</t>
  </si>
  <si>
    <t>Walker</t>
  </si>
  <si>
    <t>Georgia Governor's Office of Highway Safety</t>
  </si>
  <si>
    <t>Customer Service Specialist II</t>
  </si>
  <si>
    <t>7 Martin Luther King Jr. Drive</t>
  </si>
  <si>
    <t>Suite 643</t>
  </si>
  <si>
    <t>Atlanta</t>
  </si>
  <si>
    <t>404-656-6996</t>
  </si>
  <si>
    <t>gail.walker@gohs.ga.gov</t>
  </si>
  <si>
    <t>Harris</t>
  </si>
  <si>
    <t>Blackwood</t>
  </si>
  <si>
    <t>404-657-0540</t>
  </si>
  <si>
    <t>hblackwood@gohs.ga.gov</t>
  </si>
  <si>
    <t>Andrews</t>
  </si>
  <si>
    <t>404-656-6997</t>
  </si>
  <si>
    <t>jandrews3@gohs.ga.gov</t>
  </si>
  <si>
    <t>Valeria</t>
  </si>
  <si>
    <t>Bell</t>
  </si>
  <si>
    <t>Division Director, Research &amp; Evaluation</t>
  </si>
  <si>
    <t>vbell@gohs.ga.gov</t>
  </si>
  <si>
    <t>Linda</t>
  </si>
  <si>
    <t>Bradford</t>
  </si>
  <si>
    <t>Hydrick</t>
  </si>
  <si>
    <t>Communications Manager</t>
  </si>
  <si>
    <t>robert.hydrick@gohs.ga.gov</t>
  </si>
  <si>
    <t>Young</t>
  </si>
  <si>
    <t xml:space="preserve">Audrey </t>
  </si>
  <si>
    <t>Allums</t>
  </si>
  <si>
    <t>Bureau Chief</t>
  </si>
  <si>
    <t>2960 Prospect Ave</t>
  </si>
  <si>
    <t>Helena</t>
  </si>
  <si>
    <t>MT</t>
  </si>
  <si>
    <t>406-444-4210</t>
  </si>
  <si>
    <t>aallums@mt.gov</t>
  </si>
  <si>
    <t>Melissa</t>
  </si>
  <si>
    <t>Wandall</t>
  </si>
  <si>
    <t>National Coalition for Safer Roads</t>
  </si>
  <si>
    <t>P.O. Box 21333</t>
  </si>
  <si>
    <t>Bradenton</t>
  </si>
  <si>
    <t>941-545-3359</t>
  </si>
  <si>
    <t>melissa@melissawandall.com</t>
  </si>
  <si>
    <t>Harrison</t>
  </si>
  <si>
    <t>LightGuard Systems, Inc.</t>
  </si>
  <si>
    <t>President - CEO</t>
  </si>
  <si>
    <t>2292 Airport Blvd.</t>
  </si>
  <si>
    <t>Santa Rosa</t>
  </si>
  <si>
    <t>707-542-4547</t>
  </si>
  <si>
    <t>jeannie@lightguardsystems.com</t>
  </si>
  <si>
    <t>Carmen</t>
  </si>
  <si>
    <t>Hayes</t>
  </si>
  <si>
    <t>61 Forsyth Str, S.W.</t>
  </si>
  <si>
    <t>Suite# 17T30</t>
  </si>
  <si>
    <t>404-562-3766</t>
  </si>
  <si>
    <t>carmen.hayes@dot.gov</t>
  </si>
  <si>
    <t>Santos</t>
  </si>
  <si>
    <t>Sargent, Highway Patrol Division</t>
  </si>
  <si>
    <t>Gabrielle</t>
  </si>
  <si>
    <t>Abbate</t>
  </si>
  <si>
    <t>Rhode Island Office of Highway Safety</t>
  </si>
  <si>
    <t>Chief of Highway Safety</t>
  </si>
  <si>
    <t>2 Capitol Hill - Room 150A</t>
  </si>
  <si>
    <t>Providence</t>
  </si>
  <si>
    <t>RI</t>
  </si>
  <si>
    <t>401-222-3024 x4490</t>
  </si>
  <si>
    <t>gabrielle.abbate@dot.ri.gov</t>
  </si>
  <si>
    <t>Tomlinson</t>
  </si>
  <si>
    <t>Idaho Office of Highway Safety</t>
  </si>
  <si>
    <t>P.O. Box 7129</t>
  </si>
  <si>
    <t>3311 W State St</t>
  </si>
  <si>
    <t>Boise</t>
  </si>
  <si>
    <t>208-334-8557</t>
  </si>
  <si>
    <t>John.Tomlinson@itd.idaho.gov</t>
  </si>
  <si>
    <t>Patrick</t>
  </si>
  <si>
    <t>Hoye</t>
  </si>
  <si>
    <t>Iowa Governor's Traffic Safety Bureau</t>
  </si>
  <si>
    <t>215 E 7th Street</t>
  </si>
  <si>
    <t>3rd Floor</t>
  </si>
  <si>
    <t>Des Moines</t>
  </si>
  <si>
    <t>IA</t>
  </si>
  <si>
    <t>515-725-6120</t>
  </si>
  <si>
    <t>hoye@dps.state.ia.us</t>
  </si>
  <si>
    <t>Jordan</t>
  </si>
  <si>
    <t>Jiloty</t>
  </si>
  <si>
    <t>Director, Public &amp; Government Affairs</t>
  </si>
  <si>
    <t>386-310-6126</t>
  </si>
  <si>
    <t>jjiloty@nascar.com</t>
  </si>
  <si>
    <t>Johnson</t>
  </si>
  <si>
    <t>Janet</t>
  </si>
  <si>
    <t>Brooking</t>
  </si>
  <si>
    <t>DRIVE SMART Virginia</t>
  </si>
  <si>
    <t>720 Moorefield Park Dr.</t>
  </si>
  <si>
    <t>North Chesterfield</t>
  </si>
  <si>
    <t>804-323-3200</t>
  </si>
  <si>
    <t>janet.brooking@drivesmartva.org</t>
  </si>
  <si>
    <t>Greg</t>
  </si>
  <si>
    <t>Fredericksen</t>
  </si>
  <si>
    <t>NHTSA - Region 10</t>
  </si>
  <si>
    <t>915 Second Ave</t>
  </si>
  <si>
    <t>Suite 3140</t>
  </si>
  <si>
    <t>Seattle</t>
  </si>
  <si>
    <t>206-220-7652</t>
  </si>
  <si>
    <t>greg.fredericksen@dot.gov</t>
  </si>
  <si>
    <t>Crotty</t>
  </si>
  <si>
    <t>Government Affairs Special Project Manager - Road to Zero</t>
  </si>
  <si>
    <t>1025 Connecticut Ave NW, Suite 1210</t>
  </si>
  <si>
    <t>630-775-2258</t>
  </si>
  <si>
    <t>susan.crotty@nsc.org</t>
  </si>
  <si>
    <t>Director, Government Affairs</t>
  </si>
  <si>
    <t>317 Massachusetts Avenue, NE</t>
  </si>
  <si>
    <t>202-374-4822</t>
  </si>
  <si>
    <t>Jane.Terry@nsc.org</t>
  </si>
  <si>
    <t>Natalie</t>
  </si>
  <si>
    <t>Draisin</t>
  </si>
  <si>
    <t>FIA Foundation</t>
  </si>
  <si>
    <t>Director, North American Office &amp; United Nations</t>
  </si>
  <si>
    <t>401 Holland Lane</t>
  </si>
  <si>
    <t>#511</t>
  </si>
  <si>
    <t>201-694-2438</t>
  </si>
  <si>
    <t>n.draisin@fiafoundation.org</t>
  </si>
  <si>
    <t>Fergus</t>
  </si>
  <si>
    <t>IACP</t>
  </si>
  <si>
    <t>44 Canal Center Plaza</t>
  </si>
  <si>
    <t>703-647-6811</t>
  </si>
  <si>
    <t>fergus@theiacp.org</t>
  </si>
  <si>
    <t>Hall</t>
  </si>
  <si>
    <t>Traffic Injury Research Foundation</t>
  </si>
  <si>
    <t>171 Nepean Street</t>
  </si>
  <si>
    <t>Ottawa</t>
  </si>
  <si>
    <t>Ontario</t>
  </si>
  <si>
    <t>CAN</t>
  </si>
  <si>
    <t>613-238-5235</t>
  </si>
  <si>
    <t>robynr@tirf.ca</t>
  </si>
  <si>
    <t>Jonathan</t>
  </si>
  <si>
    <t>Adkins</t>
  </si>
  <si>
    <t>202-789-0942 x130</t>
  </si>
  <si>
    <t>jadkins@ghsa.org</t>
  </si>
  <si>
    <t>Russ</t>
  </si>
  <si>
    <t>Martin</t>
  </si>
  <si>
    <t>444 North Capitol Street NW</t>
  </si>
  <si>
    <t>202-789-0942 x180</t>
  </si>
  <si>
    <t>rmartin@ghsa.org</t>
  </si>
  <si>
    <t>Denise</t>
  </si>
  <si>
    <t>Alston</t>
  </si>
  <si>
    <t>Director of Administration</t>
  </si>
  <si>
    <t>dalston@ghsa.org</t>
  </si>
  <si>
    <t>Mark</t>
  </si>
  <si>
    <t>Scaringelli</t>
  </si>
  <si>
    <t>North Carolina Governor's Highway Safety Program</t>
  </si>
  <si>
    <t>Mail Service Center #1508</t>
  </si>
  <si>
    <t>919-814-3655</t>
  </si>
  <si>
    <t>MAScaringelli@ncdot.gov</t>
  </si>
  <si>
    <t>George</t>
  </si>
  <si>
    <t>Rod</t>
  </si>
  <si>
    <t>Chu</t>
  </si>
  <si>
    <t>NHTSA ROPD</t>
  </si>
  <si>
    <t>NHTSA Regional Program Manager</t>
  </si>
  <si>
    <t>410-962-0058</t>
  </si>
  <si>
    <t>Stacy</t>
  </si>
  <si>
    <t>Deans</t>
  </si>
  <si>
    <t>Highway Safety Program Manager</t>
  </si>
  <si>
    <t>215 East Lane Street</t>
  </si>
  <si>
    <t>919-814-3650</t>
  </si>
  <si>
    <t>smdeans@ncdot.gov</t>
  </si>
  <si>
    <t>Wills</t>
  </si>
  <si>
    <t>Boise Police Department</t>
  </si>
  <si>
    <t>333 N Mark Stall Place</t>
  </si>
  <si>
    <t>208-703-1585</t>
  </si>
  <si>
    <t>kjwills@cityofboise.org</t>
  </si>
  <si>
    <t>Nathaniel</t>
  </si>
  <si>
    <t>McQueen</t>
  </si>
  <si>
    <t>Delaware State Police</t>
  </si>
  <si>
    <t>1441 North DuPont Highway</t>
  </si>
  <si>
    <t>302-739-5911</t>
  </si>
  <si>
    <t>nathaniel.mcqueen@state.de.us</t>
  </si>
  <si>
    <t>Bryson</t>
  </si>
  <si>
    <t>Camden Police Department</t>
  </si>
  <si>
    <t>1783 Friends Way</t>
  </si>
  <si>
    <t>Camden</t>
  </si>
  <si>
    <t>302-697-2881</t>
  </si>
  <si>
    <t>william.bryson@cj.state.de.us</t>
  </si>
  <si>
    <t>Marvin</t>
  </si>
  <si>
    <t>Mailey</t>
  </si>
  <si>
    <t>Dover Police Department</t>
  </si>
  <si>
    <t>400 S. Queen Street</t>
  </si>
  <si>
    <t>Turner Building</t>
  </si>
  <si>
    <t>302-736-7102</t>
  </si>
  <si>
    <t>marvin.mailey@cj.state.de.us</t>
  </si>
  <si>
    <t>Conrad</t>
  </si>
  <si>
    <t>319-396-1944</t>
  </si>
  <si>
    <t>weinman@dps.state.ia.us</t>
  </si>
  <si>
    <t>Ticer</t>
  </si>
  <si>
    <t>Loveland Police Department</t>
  </si>
  <si>
    <t>810 East 10th Street, Suite 100</t>
  </si>
  <si>
    <t>Loveland</t>
  </si>
  <si>
    <t>970-962-2212</t>
  </si>
  <si>
    <t>bob.ticer@cityofloveland.org</t>
  </si>
  <si>
    <t>Chief Executive Officer</t>
  </si>
  <si>
    <t>Sarah</t>
  </si>
  <si>
    <t>Eric</t>
  </si>
  <si>
    <t>Arizona Governor's Office of Highway Safety</t>
  </si>
  <si>
    <t>Officer/AZGOHS</t>
  </si>
  <si>
    <t>1700 West Washington Street, Suite 430</t>
  </si>
  <si>
    <t>Phoenix</t>
  </si>
  <si>
    <t>602-255-3216</t>
  </si>
  <si>
    <t>eriley@azgohs.gov</t>
  </si>
  <si>
    <t>Moore</t>
  </si>
  <si>
    <t>602-255-3206</t>
  </si>
  <si>
    <t>kenm@scottsdaleaz.gov</t>
  </si>
  <si>
    <t>Doug</t>
  </si>
  <si>
    <t>Opferbeck</t>
  </si>
  <si>
    <t>douglas.opferbeck@phoenix.gov</t>
  </si>
  <si>
    <t>Alberto</t>
  </si>
  <si>
    <t>Gutier</t>
  </si>
  <si>
    <t>Director/Gov. Highway Safety Rep</t>
  </si>
  <si>
    <t>1700 West Washington Street</t>
  </si>
  <si>
    <t>Executive Tower, Suite 430</t>
  </si>
  <si>
    <t>agutier@azgohs.gov</t>
  </si>
  <si>
    <t>Voutour</t>
  </si>
  <si>
    <t>Niagara County Sheriff's Office</t>
  </si>
  <si>
    <t>5526 Niagara St. Ext.</t>
  </si>
  <si>
    <t>Lockport</t>
  </si>
  <si>
    <t>716-438-3370</t>
  </si>
  <si>
    <t>james.voutour@niagaracounty.com</t>
  </si>
  <si>
    <t>Oneida County Sheriff's Office</t>
  </si>
  <si>
    <t>Oriskany</t>
  </si>
  <si>
    <t>Kendall</t>
  </si>
  <si>
    <t>Cynthiana Police Department</t>
  </si>
  <si>
    <t>420 E. Pleasant Street</t>
  </si>
  <si>
    <t>859-234-7157</t>
  </si>
  <si>
    <t>cynpd27@setel.com</t>
  </si>
  <si>
    <t>Norraine</t>
  </si>
  <si>
    <t>Wingfield</t>
  </si>
  <si>
    <t>DCCCA</t>
  </si>
  <si>
    <t>Director of  Traffic Safety</t>
  </si>
  <si>
    <t>2930 SW Wanamaker Drive</t>
  </si>
  <si>
    <t>Suite 100</t>
  </si>
  <si>
    <t>Topeka</t>
  </si>
  <si>
    <t>KS</t>
  </si>
  <si>
    <t>806-416-2522</t>
  </si>
  <si>
    <t>nwingfield@dccca.org</t>
  </si>
  <si>
    <t>Stalker Radar</t>
  </si>
  <si>
    <t>855 East Collins Blvd</t>
  </si>
  <si>
    <t>Richardson</t>
  </si>
  <si>
    <t>972-398-3780</t>
  </si>
  <si>
    <t>Kendell</t>
  </si>
  <si>
    <t>Poole</t>
  </si>
  <si>
    <t>KPoole Strategic Relations</t>
  </si>
  <si>
    <t>1672 Stokley Lane</t>
  </si>
  <si>
    <t>Old Hickory</t>
  </si>
  <si>
    <t>615-482-6878</t>
  </si>
  <si>
    <t>Kpoole@kpoolestrategicrelations.com</t>
  </si>
  <si>
    <t>Brad</t>
  </si>
  <si>
    <t>Owensboro Police Department</t>
  </si>
  <si>
    <t>Supervisor, Traffic Unit</t>
  </si>
  <si>
    <t>222 E 9th Street</t>
  </si>
  <si>
    <t>270-687-8847</t>
  </si>
  <si>
    <t>martinwb@owensboro.org</t>
  </si>
  <si>
    <t>Kent</t>
  </si>
  <si>
    <t>Illinois Department of Transportation</t>
  </si>
  <si>
    <t>Law Enforcement Liaison Program Supervisor</t>
  </si>
  <si>
    <t>517 Gatlinburg Drive</t>
  </si>
  <si>
    <t>Chatham</t>
  </si>
  <si>
    <t>217-725-0103</t>
  </si>
  <si>
    <t>kentdan1@comcast.net</t>
  </si>
  <si>
    <t>Ezzell</t>
  </si>
  <si>
    <t>919-814-3654</t>
  </si>
  <si>
    <t>mezzell@ncdot.gov</t>
  </si>
  <si>
    <t>Rhonda</t>
  </si>
  <si>
    <t>Stricklin</t>
  </si>
  <si>
    <t>Center for Advanced Public Safety</t>
  </si>
  <si>
    <t>Associate Director, Analysis and Outreach</t>
  </si>
  <si>
    <t>Center for Advanced Public Safety, University of A</t>
  </si>
  <si>
    <t>2101 Cyber Hall, 100 3rd Place</t>
  </si>
  <si>
    <t>Tuscaloosa</t>
  </si>
  <si>
    <t>205-348-0991</t>
  </si>
  <si>
    <t>rstricklin@cs.ua.edu</t>
  </si>
  <si>
    <t>Roby</t>
  </si>
  <si>
    <t>robymw@owensboro.org</t>
  </si>
  <si>
    <t>Center for Advanced Public Safety, Univ. of AL</t>
  </si>
  <si>
    <t>2101 Cyber Hall</t>
  </si>
  <si>
    <t>256-361-9305</t>
  </si>
  <si>
    <t>randy.smith@ua.edu</t>
  </si>
  <si>
    <t>Gina</t>
  </si>
  <si>
    <t>Espinosa-Salcedo</t>
  </si>
  <si>
    <t>12300 W. Dakota Avenue</t>
  </si>
  <si>
    <t>Suite 140</t>
  </si>
  <si>
    <t>Lakewood</t>
  </si>
  <si>
    <t>720-963-3100</t>
  </si>
  <si>
    <t>gina.espinosa-salcedo@dot.gov</t>
  </si>
  <si>
    <t>Kentucky Office of Highway Safety</t>
  </si>
  <si>
    <t>Information Office, Kentucky Transportation Cabinet</t>
  </si>
  <si>
    <t>109 Loraine Street</t>
  </si>
  <si>
    <t>606-207-3950</t>
  </si>
  <si>
    <t>sara.george@ky.gov</t>
  </si>
  <si>
    <t>Ray</t>
  </si>
  <si>
    <t>Pelphrey</t>
  </si>
  <si>
    <t>Johnson County Sheriff's Office</t>
  </si>
  <si>
    <t>339 Main Street</t>
  </si>
  <si>
    <t>Paintsville</t>
  </si>
  <si>
    <t>606-789-3411</t>
  </si>
  <si>
    <t>krpelphrey@gmail.com</t>
  </si>
  <si>
    <t>Joseph</t>
  </si>
  <si>
    <t>Cristalli</t>
  </si>
  <si>
    <t>Connecticut Highway Safety Office</t>
  </si>
  <si>
    <t>Transportation Principal Safety Program Coordinator</t>
  </si>
  <si>
    <t>2800 Berlin Turnpike</t>
  </si>
  <si>
    <t>Newington</t>
  </si>
  <si>
    <t>860-594-2412</t>
  </si>
  <si>
    <t>joseph.cristalli@ct.gov</t>
  </si>
  <si>
    <t>Tara</t>
  </si>
  <si>
    <t>Leystra</t>
  </si>
  <si>
    <t>State Government Affairs Manager</t>
  </si>
  <si>
    <t>202-445-3121</t>
  </si>
  <si>
    <t>tara.leystra@nsc.org</t>
  </si>
  <si>
    <t>Kansas Attorney General's Office</t>
  </si>
  <si>
    <t>TSRP - Assistant Attorney General</t>
  </si>
  <si>
    <t>120 SW 10th Avenue, 2nd Floor</t>
  </si>
  <si>
    <t>Steven</t>
  </si>
  <si>
    <t>Hillman</t>
  </si>
  <si>
    <t>Director, Traffic Safety Division</t>
  </si>
  <si>
    <t>101 West Washington Street</t>
  </si>
  <si>
    <t>Suite 1170, East Tower</t>
  </si>
  <si>
    <t>317-232-1233</t>
  </si>
  <si>
    <t>sthillman@cji.in.gov</t>
  </si>
  <si>
    <t>Murtaugh</t>
  </si>
  <si>
    <t>317-232-2560</t>
  </si>
  <si>
    <t>dmurtaugh@cji.in.gov</t>
  </si>
  <si>
    <t>Kaci</t>
  </si>
  <si>
    <t>Wray</t>
  </si>
  <si>
    <t>Child Passenger Services/Youth Drivers Program Manager - Traffic Safety</t>
  </si>
  <si>
    <t>317-232-2561</t>
  </si>
  <si>
    <t>KWray@cji.in.gov</t>
  </si>
  <si>
    <t>Nelson</t>
  </si>
  <si>
    <t>FHWA</t>
  </si>
  <si>
    <t>Division Administator</t>
  </si>
  <si>
    <t>330 West Broadway Street</t>
  </si>
  <si>
    <t>502-223-6720</t>
  </si>
  <si>
    <t>thomas.nelson@dot.gov</t>
  </si>
  <si>
    <t>Transportation Specialist</t>
  </si>
  <si>
    <t>tony.young@dot.gov</t>
  </si>
  <si>
    <t>Sidney</t>
  </si>
  <si>
    <t>Wordell</t>
  </si>
  <si>
    <t>Rhode Island Police Chief's Association</t>
  </si>
  <si>
    <t>274 Long Highway</t>
  </si>
  <si>
    <t>Little Compton</t>
  </si>
  <si>
    <t>401-623-9031</t>
  </si>
  <si>
    <t>swordell@ripolicechiefs.org</t>
  </si>
  <si>
    <t>Pabst</t>
  </si>
  <si>
    <t>Wisconsin Bureau of Transportation Safety</t>
  </si>
  <si>
    <t>P.O. Box 7936</t>
  </si>
  <si>
    <t>WI</t>
  </si>
  <si>
    <t>608-709-0055</t>
  </si>
  <si>
    <t>david.pabst@dot.wi.gov</t>
  </si>
  <si>
    <t>Worley</t>
  </si>
  <si>
    <t>Baylor Scott &amp; White Hillcrest Medical Center</t>
  </si>
  <si>
    <t>RED Outreach and Injury Prevention Coordinator</t>
  </si>
  <si>
    <t>2911 Herring Avenue, Suite 312</t>
  </si>
  <si>
    <t>Waco</t>
  </si>
  <si>
    <t>254-202-6532</t>
  </si>
  <si>
    <t>dan.worley@bswhealth.org</t>
  </si>
  <si>
    <t>Haneberg</t>
  </si>
  <si>
    <t>Motor Vehicle Safety Administrator</t>
  </si>
  <si>
    <t>601 Kamokila Boulevard</t>
  </si>
  <si>
    <t>Rm. 511</t>
  </si>
  <si>
    <t>Kapolei</t>
  </si>
  <si>
    <t>808-692-7650</t>
  </si>
  <si>
    <t>Scott.Haneberg@hawaii.gov</t>
  </si>
  <si>
    <t>Communications Director</t>
  </si>
  <si>
    <t>wwingfield1@cji.in.gov</t>
  </si>
  <si>
    <t>Karen</t>
  </si>
  <si>
    <t>Ritchie</t>
  </si>
  <si>
    <t>OPO Program Manager</t>
  </si>
  <si>
    <t>kritchie1@cji.in.gov</t>
  </si>
  <si>
    <t>Bee</t>
  </si>
  <si>
    <t>Texas RED Program Coordinator</t>
  </si>
  <si>
    <t>254-202-6534</t>
  </si>
  <si>
    <t>taylor.bee@bswhealth.org</t>
  </si>
  <si>
    <t>Julia</t>
  </si>
  <si>
    <t>Davies</t>
  </si>
  <si>
    <t>Community Education Specialist</t>
  </si>
  <si>
    <t>3000 Herring Avenue</t>
  </si>
  <si>
    <t>Suite 312</t>
  </si>
  <si>
    <t>254-202-6546</t>
  </si>
  <si>
    <t>julia.davies@bswhealth.org</t>
  </si>
  <si>
    <t>Rachel</t>
  </si>
  <si>
    <t>Bettinger-Cooney</t>
  </si>
  <si>
    <t>Injury Prevention Program Supervisor</t>
  </si>
  <si>
    <t>254-202-6537</t>
  </si>
  <si>
    <t>rachel.cooney@bswhealth.org</t>
  </si>
  <si>
    <t>Tasha</t>
  </si>
  <si>
    <t>Whitaker</t>
  </si>
  <si>
    <t>100 Millcrest Medical Boulevard</t>
  </si>
  <si>
    <t>254-202-6531</t>
  </si>
  <si>
    <t>tasha.whitaker1@bswhealth.org</t>
  </si>
  <si>
    <t>AAA</t>
  </si>
  <si>
    <t>101 Research LLC</t>
  </si>
  <si>
    <t>Co-Founder</t>
  </si>
  <si>
    <t>6564 Loisdale Court</t>
  </si>
  <si>
    <t>Springfield</t>
  </si>
  <si>
    <t>202-868-2151</t>
  </si>
  <si>
    <t>allison@101research.com</t>
  </si>
  <si>
    <t>Harwood</t>
  </si>
  <si>
    <t>202-868-2237</t>
  </si>
  <si>
    <t>paul@101research.com</t>
  </si>
  <si>
    <t>Ji Sun</t>
  </si>
  <si>
    <t>202-868-2030</t>
  </si>
  <si>
    <t>jisun@101research.com</t>
  </si>
  <si>
    <t>Int'l Assoc Chiefs of Police</t>
  </si>
  <si>
    <t>DEC Program Project Manager</t>
  </si>
  <si>
    <t>PO Box 4597</t>
  </si>
  <si>
    <t>503-585-0055</t>
  </si>
  <si>
    <t>hayes@theiacp.org</t>
  </si>
  <si>
    <t>Marlene</t>
  </si>
  <si>
    <t>Grayson Police Department</t>
  </si>
  <si>
    <t>320 E 3rd Street</t>
  </si>
  <si>
    <t>Grayson</t>
  </si>
  <si>
    <t>606-474-4308</t>
  </si>
  <si>
    <t>Lehmkuhl</t>
  </si>
  <si>
    <t>Campbell County Police Department</t>
  </si>
  <si>
    <t>8774 Constable Dr</t>
  </si>
  <si>
    <t>859-547-3100</t>
  </si>
  <si>
    <t>dlehmkuhl@campbellcountyky.org</t>
  </si>
  <si>
    <t>Hackney</t>
  </si>
  <si>
    <t>State Traffic Records Coordinator</t>
  </si>
  <si>
    <t>919-814-3659</t>
  </si>
  <si>
    <t>fhackney@ncdot.gov</t>
  </si>
  <si>
    <t>Winn</t>
  </si>
  <si>
    <t xml:space="preserve">Town of Camillus P.D. </t>
  </si>
  <si>
    <t>315-487-0102</t>
  </si>
  <si>
    <t>twinn@townofcamillus.com</t>
  </si>
  <si>
    <t>Suzanne</t>
  </si>
  <si>
    <t>O'Hearn</t>
  </si>
  <si>
    <t>Senior Highway Safety Specialist</t>
  </si>
  <si>
    <t>609-633-9197</t>
  </si>
  <si>
    <t>suzanne.ohearn@njoag.gov</t>
  </si>
  <si>
    <t xml:space="preserve">Jerry </t>
  </si>
  <si>
    <t xml:space="preserve">Miller </t>
  </si>
  <si>
    <t xml:space="preserve">ITSMR </t>
  </si>
  <si>
    <t xml:space="preserve">Project Director DRE Data System </t>
  </si>
  <si>
    <t xml:space="preserve">80 Wolf Rd. </t>
  </si>
  <si>
    <t>STE 607</t>
  </si>
  <si>
    <t>518-453-0291</t>
  </si>
  <si>
    <t xml:space="preserve">jmiller@itsmr.org </t>
  </si>
  <si>
    <t>Megan</t>
  </si>
  <si>
    <t>Wells</t>
  </si>
  <si>
    <t>Bardstown Police Department</t>
  </si>
  <si>
    <t>Admin. Assistant</t>
  </si>
  <si>
    <t>212 Plaza Dr</t>
  </si>
  <si>
    <t>Bardstown</t>
  </si>
  <si>
    <t>502-348-6811</t>
  </si>
  <si>
    <t>megan.wells@bardstownpolice.com</t>
  </si>
  <si>
    <t>Nissen</t>
  </si>
  <si>
    <t>Hillview Police Department</t>
  </si>
  <si>
    <t xml:space="preserve">Detective </t>
  </si>
  <si>
    <t>283 Crestwood Ln</t>
  </si>
  <si>
    <t>502-955-6808</t>
  </si>
  <si>
    <t>jnissen@hillviewpolice.com</t>
  </si>
  <si>
    <t>Cruz</t>
  </si>
  <si>
    <t>Officer</t>
  </si>
  <si>
    <t>ecruz@hillviewpolice.com</t>
  </si>
  <si>
    <t>Kleiner</t>
  </si>
  <si>
    <t>Transportation Research Board</t>
  </si>
  <si>
    <t>500 Fifth St NW</t>
  </si>
  <si>
    <t>202-334-2964</t>
  </si>
  <si>
    <t>bkleiner@nas.edu</t>
  </si>
  <si>
    <t>Kristiansen</t>
  </si>
  <si>
    <t>801 Heatherdown Way</t>
  </si>
  <si>
    <t>Buffalo Grove</t>
  </si>
  <si>
    <t>847-456-2293</t>
  </si>
  <si>
    <t>kristiansenscott@aol.com</t>
  </si>
  <si>
    <t>Lynda</t>
  </si>
  <si>
    <t>Texas Municipal Police Association</t>
  </si>
  <si>
    <t>6200 La Calma Drive</t>
  </si>
  <si>
    <t>512-971-7918</t>
  </si>
  <si>
    <t>lynda.walker@tmpa.org</t>
  </si>
  <si>
    <t>Olorunfemi</t>
  </si>
  <si>
    <t>Bajomo</t>
  </si>
  <si>
    <t>Ledge Light Technologies Inc.</t>
  </si>
  <si>
    <t>88 Howard Street</t>
  </si>
  <si>
    <t>Suite D</t>
  </si>
  <si>
    <t>New London</t>
  </si>
  <si>
    <t>860-444-0138</t>
  </si>
  <si>
    <t>fbajomo@ledgelight.com</t>
  </si>
  <si>
    <t>Victor</t>
  </si>
  <si>
    <t>Pangelinan</t>
  </si>
  <si>
    <t>General Manager</t>
  </si>
  <si>
    <t>vpangelinan@ledgelight.com</t>
  </si>
  <si>
    <t>Maggi</t>
  </si>
  <si>
    <t>Gunnels</t>
  </si>
  <si>
    <t>Ph.D.</t>
  </si>
  <si>
    <t>Assoc. Administrator, Regional Operations &amp; Program Delivery</t>
  </si>
  <si>
    <t>Room W46-304</t>
  </si>
  <si>
    <t>202-366-0166</t>
  </si>
  <si>
    <t>Maggi.gunnels@dot.gov</t>
  </si>
  <si>
    <t>Ramon</t>
  </si>
  <si>
    <t>Pineiroa</t>
  </si>
  <si>
    <t>Nelson County Sheriff's Office</t>
  </si>
  <si>
    <t>Assistant Chief</t>
  </si>
  <si>
    <t>210 Plaza Drive</t>
  </si>
  <si>
    <t>502-348-1870</t>
  </si>
  <si>
    <t>ramon.pineiroa@nelsoncountysheriff.com</t>
  </si>
  <si>
    <t>Rebecca</t>
  </si>
  <si>
    <t>Weast</t>
  </si>
  <si>
    <t>Insurance Institute for Highway Safety</t>
  </si>
  <si>
    <t>Research Scientist</t>
  </si>
  <si>
    <t>988 Dairy Rd.</t>
  </si>
  <si>
    <t>Ruckersville</t>
  </si>
  <si>
    <t>434-985-2280</t>
  </si>
  <si>
    <t>rweast@iihs.org</t>
  </si>
  <si>
    <t>Terecia</t>
  </si>
  <si>
    <t>Clemson University</t>
  </si>
  <si>
    <t>Senior Fellow, Institute for Global Road Safety &amp;</t>
  </si>
  <si>
    <t>D-141 Poole Agricultural Center</t>
  </si>
  <si>
    <t>Clemson</t>
  </si>
  <si>
    <t>803-537-6807</t>
  </si>
  <si>
    <t>wilsontw123@gmail.com</t>
  </si>
  <si>
    <t>Behrens</t>
  </si>
  <si>
    <t>Board of Tests for Alcohol and Drug Influence</t>
  </si>
  <si>
    <t>P.O. Box 36307</t>
  </si>
  <si>
    <t>405-323-5721</t>
  </si>
  <si>
    <t>kevin.behrens@dps.ok.gov</t>
  </si>
  <si>
    <t>Howard</t>
  </si>
  <si>
    <t>Niemeier</t>
  </si>
  <si>
    <t>Bracken County Sheriff's Office</t>
  </si>
  <si>
    <t>P.O. Box 186</t>
  </si>
  <si>
    <t>Brooksville</t>
  </si>
  <si>
    <t>606-735-3233</t>
  </si>
  <si>
    <t>hniemeier@maysvilleky.net</t>
  </si>
  <si>
    <t>Wheatley</t>
  </si>
  <si>
    <t>212 Plaza Drive</t>
  </si>
  <si>
    <t>Venk</t>
  </si>
  <si>
    <t>Kandadai</t>
  </si>
  <si>
    <t>Diagnostic Driving, Inc.</t>
  </si>
  <si>
    <t>705 S. 50th Street</t>
  </si>
  <si>
    <t>Philadelphia</t>
  </si>
  <si>
    <t>914-466-3765</t>
  </si>
  <si>
    <t>venk@diagnosticdriving.com</t>
  </si>
  <si>
    <t>Hill</t>
  </si>
  <si>
    <t>Children's Hospital of Philadelphia</t>
  </si>
  <si>
    <t>2716 South Street, 13th Floor</t>
  </si>
  <si>
    <t>267-426-6067</t>
  </si>
  <si>
    <t>HILLSU@email.chop.edu</t>
  </si>
  <si>
    <t>Eshon</t>
  </si>
  <si>
    <t>Poythress</t>
  </si>
  <si>
    <t>Planning &amp; Programs</t>
  </si>
  <si>
    <t>404-657-1955</t>
  </si>
  <si>
    <t>epoythress@gohs.ga.gov</t>
  </si>
  <si>
    <t>Dylan</t>
  </si>
  <si>
    <t>Mullins</t>
  </si>
  <si>
    <t>SADD Inc.</t>
  </si>
  <si>
    <t>Student of the Year</t>
  </si>
  <si>
    <t>201 Boston Post Road W, Suite 202</t>
  </si>
  <si>
    <t>Marlborough</t>
  </si>
  <si>
    <t>877-723-3462</t>
  </si>
  <si>
    <t>soy@sadd.org</t>
  </si>
  <si>
    <t>Elizabeth</t>
  </si>
  <si>
    <t>Vermette</t>
  </si>
  <si>
    <t>Senior Director of Programs</t>
  </si>
  <si>
    <t>508-481-3568</t>
  </si>
  <si>
    <t>evermette@sadd.org</t>
  </si>
  <si>
    <t>Casstevens</t>
  </si>
  <si>
    <t>Buffalo Grove Police Department</t>
  </si>
  <si>
    <t>46 Raupp Boulevard</t>
  </si>
  <si>
    <t>847-459-2560</t>
  </si>
  <si>
    <t>scasstevens@vbg.org</t>
  </si>
  <si>
    <t>McWhorter</t>
  </si>
  <si>
    <t>OST-TSI</t>
  </si>
  <si>
    <t>Highway Safety Specialist</t>
  </si>
  <si>
    <t>405-954-7216</t>
  </si>
  <si>
    <t>lance.mcwhorter@dot.gov</t>
  </si>
  <si>
    <t>McKillips</t>
  </si>
  <si>
    <t>Network of Employers for Traffic Safety</t>
  </si>
  <si>
    <t>344 Maple Avenue West</t>
  </si>
  <si>
    <t>#357</t>
  </si>
  <si>
    <t>Vienna</t>
  </si>
  <si>
    <t>224-571-6473</t>
  </si>
  <si>
    <t>jmckillips@trafficsafety.org</t>
  </si>
  <si>
    <t>Gillies</t>
  </si>
  <si>
    <t>Marketing and Operations Analysis Manager</t>
  </si>
  <si>
    <t>703-891-6005</t>
  </si>
  <si>
    <t>sgillies@trafficsafety.org</t>
  </si>
  <si>
    <t>24 Farmington Drive</t>
  </si>
  <si>
    <t>Hamden</t>
  </si>
  <si>
    <t>203-809-8709</t>
  </si>
  <si>
    <t>taracpc@outlook.com</t>
  </si>
  <si>
    <t>Brant</t>
  </si>
  <si>
    <t>Shutt</t>
  </si>
  <si>
    <t>Murray Police Department</t>
  </si>
  <si>
    <t>407 Poplar St</t>
  </si>
  <si>
    <t>270-762-0313</t>
  </si>
  <si>
    <t>brittany.thomas@murrayky.gov</t>
  </si>
  <si>
    <t>Tackett</t>
  </si>
  <si>
    <t>Transportation Engineering Tech</t>
  </si>
  <si>
    <t>P.O. Box 463</t>
  </si>
  <si>
    <t>606-433-7791</t>
  </si>
  <si>
    <t>terrylynn.tackett@ky.gov</t>
  </si>
  <si>
    <t>Rader</t>
  </si>
  <si>
    <t>IIHS</t>
  </si>
  <si>
    <t>Senior VP Communications</t>
  </si>
  <si>
    <t>1005 N. Glebe Rd</t>
  </si>
  <si>
    <t>Suite 800</t>
  </si>
  <si>
    <t>703-247-1500</t>
  </si>
  <si>
    <t>rrader@iihs.org</t>
  </si>
  <si>
    <t>Yeager</t>
  </si>
  <si>
    <t>Georgia Department of Public Health</t>
  </si>
  <si>
    <t>Operation Analyst</t>
  </si>
  <si>
    <t>Two Peachtree Street, NW</t>
  </si>
  <si>
    <t>Suite 9-482</t>
  </si>
  <si>
    <t>404-657-4776</t>
  </si>
  <si>
    <t>denise.yeager@dph.ga.gov</t>
  </si>
  <si>
    <t xml:space="preserve">Larue </t>
  </si>
  <si>
    <t>LexisNexis Risk Solutions</t>
  </si>
  <si>
    <t>1000 Alderman Drive</t>
  </si>
  <si>
    <t>317 201 9546</t>
  </si>
  <si>
    <t>clare.southcombe@lexisnexis.com</t>
  </si>
  <si>
    <t>Pacific Institute for Research &amp; Evaluation</t>
  </si>
  <si>
    <t>Calverton Office Park</t>
  </si>
  <si>
    <t>11720 Beltsville Drive, Suite 900</t>
  </si>
  <si>
    <t>Calverton</t>
  </si>
  <si>
    <t>Anthony</t>
  </si>
  <si>
    <t>Ramirez</t>
  </si>
  <si>
    <t>Project Director</t>
  </si>
  <si>
    <t>301-755-2738</t>
  </si>
  <si>
    <t>ramirez@pire.org</t>
  </si>
  <si>
    <t>Schick</t>
  </si>
  <si>
    <t>1200 New Jersey Ave</t>
  </si>
  <si>
    <t>SE</t>
  </si>
  <si>
    <t>202-366-2764</t>
  </si>
  <si>
    <t>amy.schick@dot.gov</t>
  </si>
  <si>
    <t>Hardy</t>
  </si>
  <si>
    <t>American Association of State Highway and Transportation Officials</t>
  </si>
  <si>
    <t>Safety Program Manager</t>
  </si>
  <si>
    <t>Suite 249</t>
  </si>
  <si>
    <t>202-624-5868</t>
  </si>
  <si>
    <t>khardy@aashto.org</t>
  </si>
  <si>
    <t>Dona</t>
  </si>
  <si>
    <t>Sapp</t>
  </si>
  <si>
    <t>IU Public Policy Institute</t>
  </si>
  <si>
    <t>Senior Policy Analyst</t>
  </si>
  <si>
    <t>334 Senate Ave.</t>
  </si>
  <si>
    <t>317-261-3015</t>
  </si>
  <si>
    <t>dosapp@iupui.edu</t>
  </si>
  <si>
    <t>Shelton</t>
  </si>
  <si>
    <t>Acting Executive Director</t>
  </si>
  <si>
    <t>202-366-4290</t>
  </si>
  <si>
    <t>terry.shelton@dot.gov</t>
  </si>
  <si>
    <t>Thelin</t>
  </si>
  <si>
    <t>317-261-3024</t>
  </si>
  <si>
    <t>rthelin@iupui.edu</t>
  </si>
  <si>
    <t>Michigan Department of State</t>
  </si>
  <si>
    <t>Manager</t>
  </si>
  <si>
    <t>430 West Allegan Street</t>
  </si>
  <si>
    <t>P.O. Box 30810</t>
  </si>
  <si>
    <t>517-241-3567</t>
  </si>
  <si>
    <t>Reaganc@michigan.gov</t>
  </si>
  <si>
    <t>Collinsworth</t>
  </si>
  <si>
    <t>Southgate Police Department</t>
  </si>
  <si>
    <t>301 W Walnut St</t>
  </si>
  <si>
    <t>Newport</t>
  </si>
  <si>
    <t>859-441-7473</t>
  </si>
  <si>
    <t>scollinsworth@southgateky.org</t>
  </si>
  <si>
    <t>Morgan</t>
  </si>
  <si>
    <t>Cihak</t>
  </si>
  <si>
    <t>Program Manager, Teen Injury Prevention</t>
  </si>
  <si>
    <t>630-775-2162</t>
  </si>
  <si>
    <t>morgan.cihak@nsc.org</t>
  </si>
  <si>
    <t>Hensley</t>
  </si>
  <si>
    <t>Ashland Police Department</t>
  </si>
  <si>
    <t>201 17th Street</t>
  </si>
  <si>
    <t>Ashland</t>
  </si>
  <si>
    <t>606-327-2080</t>
  </si>
  <si>
    <t>billhensley@ashlandkypd.com</t>
  </si>
  <si>
    <t>Dir, DQ &amp; Analysis Team</t>
  </si>
  <si>
    <t>2 Peachtree Street</t>
  </si>
  <si>
    <t>Cube 10-240</t>
  </si>
  <si>
    <t>404-651-5749</t>
  </si>
  <si>
    <t>david.austin@dph.ga.gov</t>
  </si>
  <si>
    <t>Distracted Driving Coordinator</t>
  </si>
  <si>
    <t>515-725-6127</t>
  </si>
  <si>
    <t>parsons@dps.state.ia.us</t>
  </si>
  <si>
    <t>Ulczycki</t>
  </si>
  <si>
    <t>Coalition of Ignition Interlock Manufacturers</t>
  </si>
  <si>
    <t>201 Hunters Crossing Blvd</t>
  </si>
  <si>
    <t>Suite 10-212</t>
  </si>
  <si>
    <t>Bastrop</t>
  </si>
  <si>
    <t>john.ulczycki@lmgholdings.com</t>
  </si>
  <si>
    <t>Sprattler</t>
  </si>
  <si>
    <t>Sprattler Group</t>
  </si>
  <si>
    <t>1043 Grand Avenue</t>
  </si>
  <si>
    <t>#323</t>
  </si>
  <si>
    <t>651-225-8045</t>
  </si>
  <si>
    <t>karen@sprattlergroup.com</t>
  </si>
  <si>
    <t>Mickey</t>
  </si>
  <si>
    <t>Collins</t>
  </si>
  <si>
    <t>Wilder Police Department</t>
  </si>
  <si>
    <t>Patrolman / Grant Coordinator</t>
  </si>
  <si>
    <t>520 Licking Pike</t>
  </si>
  <si>
    <t>Wilder</t>
  </si>
  <si>
    <t>859-581-8863</t>
  </si>
  <si>
    <t>mcollins@cityofwilder.com</t>
  </si>
  <si>
    <t>Robby</t>
  </si>
  <si>
    <t>Slone</t>
  </si>
  <si>
    <t>Knott County Sheriff's Department</t>
  </si>
  <si>
    <t>54 W Main Street</t>
  </si>
  <si>
    <t>P.O. Box 1170</t>
  </si>
  <si>
    <t>Hindman</t>
  </si>
  <si>
    <t>606-785-5354</t>
  </si>
  <si>
    <t>kcso500@yahoo.com</t>
  </si>
  <si>
    <t>Meluso</t>
  </si>
  <si>
    <t>RADD</t>
  </si>
  <si>
    <t>4370 Tujunga Avenue</t>
  </si>
  <si>
    <t>Suite 212</t>
  </si>
  <si>
    <t>Studio City</t>
  </si>
  <si>
    <t>949-400-3436</t>
  </si>
  <si>
    <t>erin.meluso@radd.org</t>
  </si>
  <si>
    <t>LaGosh</t>
  </si>
  <si>
    <t>One Daytona Blvd</t>
  </si>
  <si>
    <t>jlagosh@nascar.com</t>
  </si>
  <si>
    <t>Evelyn</t>
  </si>
  <si>
    <t>Blumenberg</t>
  </si>
  <si>
    <t>UCLA Luskin School of Public Affairs</t>
  </si>
  <si>
    <t>Professor</t>
  </si>
  <si>
    <t>Institute of Transportation Studies</t>
  </si>
  <si>
    <t>3250 Public Affairs Building</t>
  </si>
  <si>
    <t>Los Angeles</t>
  </si>
  <si>
    <t>310-903-3305</t>
  </si>
  <si>
    <t>eblumenb@ucla.edu</t>
  </si>
  <si>
    <t>Sifferlen</t>
  </si>
  <si>
    <t>LexisNexis</t>
  </si>
  <si>
    <t>Statewide Account Manager</t>
  </si>
  <si>
    <t>317-201-2250</t>
  </si>
  <si>
    <t>kevin.sifferlen@lexisnexisrisk.com</t>
  </si>
  <si>
    <t>Chase</t>
  </si>
  <si>
    <t>New Hampshire Department of Justice</t>
  </si>
  <si>
    <t>TSRP</t>
  </si>
  <si>
    <t>33 Capitol Street</t>
  </si>
  <si>
    <t>603-271-5009</t>
  </si>
  <si>
    <t>scott.chase@doj.nh.gov</t>
  </si>
  <si>
    <t>Compton</t>
  </si>
  <si>
    <t>Director Office of Behavioral Safety Research</t>
  </si>
  <si>
    <t>NPD-300 Room W44-304</t>
  </si>
  <si>
    <t>1200 New Jersey Avenue, SE</t>
  </si>
  <si>
    <t>202-366-2699</t>
  </si>
  <si>
    <t>richard.compton@dot.gov</t>
  </si>
  <si>
    <t>Wayne</t>
  </si>
  <si>
    <t>Williamsburg Police Department</t>
  </si>
  <si>
    <t>423 Main Street</t>
  </si>
  <si>
    <t>Williamsburg</t>
  </si>
  <si>
    <t>606-549-6087</t>
  </si>
  <si>
    <t>Caddell</t>
  </si>
  <si>
    <t>jason.caddell@williamsburgpd.com</t>
  </si>
  <si>
    <t>Don</t>
  </si>
  <si>
    <t>Sammons</t>
  </si>
  <si>
    <t>Raceland Police Department</t>
  </si>
  <si>
    <t>711 Chinn Street</t>
  </si>
  <si>
    <t>Raceland</t>
  </si>
  <si>
    <t>606-836-4522</t>
  </si>
  <si>
    <t>rpolice215@yahoo.com</t>
  </si>
  <si>
    <t>Robbin</t>
  </si>
  <si>
    <t>Cabelus</t>
  </si>
  <si>
    <t>Transportation Planning Director, Connecticut DOT</t>
  </si>
  <si>
    <t>860-594-2051</t>
  </si>
  <si>
    <t>robbin.cabelus@ct.gov</t>
  </si>
  <si>
    <t>Bud</t>
  </si>
  <si>
    <t>Zaouk</t>
  </si>
  <si>
    <t>Automotive Coalition for Traffic Safety</t>
  </si>
  <si>
    <t>803 7th Street, NW</t>
  </si>
  <si>
    <t>703-981-1971</t>
  </si>
  <si>
    <t>bud.zaouk@keatechinc.com</t>
  </si>
  <si>
    <t>Katara</t>
  </si>
  <si>
    <t>Williams</t>
  </si>
  <si>
    <t>PhD</t>
  </si>
  <si>
    <t>Louisiana Highway Safety Commission</t>
  </si>
  <si>
    <t>7919 Independence Boulevard</t>
  </si>
  <si>
    <t>2nd Floor - Suite 2100</t>
  </si>
  <si>
    <t>225-925-6991</t>
  </si>
  <si>
    <t>katara.williams@la.gov</t>
  </si>
  <si>
    <t>Willis</t>
  </si>
  <si>
    <t>508-658-9421</t>
  </si>
  <si>
    <t>michael.willis@keatechinc.com</t>
  </si>
  <si>
    <t xml:space="preserve">Diane </t>
  </si>
  <si>
    <t>Wigle</t>
  </si>
  <si>
    <t>Division Chief</t>
  </si>
  <si>
    <t>202-366-2695</t>
  </si>
  <si>
    <t>diane.wigle@dot.gov</t>
  </si>
  <si>
    <t>Rich</t>
  </si>
  <si>
    <t>Doucette</t>
  </si>
  <si>
    <t>rich.doucette@keatechinc.com</t>
  </si>
  <si>
    <t>Ashley</t>
  </si>
  <si>
    <t>Middleton</t>
  </si>
  <si>
    <t>ashley.middleton@gmmb.com</t>
  </si>
  <si>
    <t>Camp</t>
  </si>
  <si>
    <t>Dynamic Messages</t>
  </si>
  <si>
    <t>Attorney/Owner</t>
  </si>
  <si>
    <t>445 Summit Oaks Drive</t>
  </si>
  <si>
    <t>651-260-9183</t>
  </si>
  <si>
    <t>jim@dynamicmessages.net</t>
  </si>
  <si>
    <t>Matt</t>
  </si>
  <si>
    <t>Ft. Mitchell Police Department</t>
  </si>
  <si>
    <t>2355 Dixie Highway</t>
  </si>
  <si>
    <t>Ft. Mitchell</t>
  </si>
  <si>
    <t>859-331-2823</t>
  </si>
  <si>
    <t>mrobinson@fortmitchell.com</t>
  </si>
  <si>
    <t>Donald</t>
  </si>
  <si>
    <t>Benken</t>
  </si>
  <si>
    <t>Centers for Disease Control and Prevention</t>
  </si>
  <si>
    <t>Senior Public Health Advisor</t>
  </si>
  <si>
    <t>959 Cedar Falls Court</t>
  </si>
  <si>
    <t>Lilburn</t>
  </si>
  <si>
    <t>770-361-2601</t>
  </si>
  <si>
    <t>dbenken@cdc.gov</t>
  </si>
  <si>
    <t>Zack</t>
  </si>
  <si>
    <t>Love</t>
  </si>
  <si>
    <t>FCCLA National Officer</t>
  </si>
  <si>
    <t>1910 Association Dr.</t>
  </si>
  <si>
    <t>vpdevelopment@fcclainc.org</t>
  </si>
  <si>
    <t>Ed</t>
  </si>
  <si>
    <t>Bradley</t>
  </si>
  <si>
    <t>Toyota Motor Sales U.S.A. Inc.</t>
  </si>
  <si>
    <t>Manager, Technical &amp; Regulatory Affairs</t>
  </si>
  <si>
    <t>325 7th Street NW</t>
  </si>
  <si>
    <t>Suite 1000</t>
  </si>
  <si>
    <t>202-463-6821</t>
  </si>
  <si>
    <t>ed_bradley@toyota.com</t>
  </si>
  <si>
    <t>Conduent</t>
  </si>
  <si>
    <t>Vice President, Government Affairs</t>
  </si>
  <si>
    <t>Shepherd</t>
  </si>
  <si>
    <t>Business Development</t>
  </si>
  <si>
    <t>10952 Santa Monica Blvd</t>
  </si>
  <si>
    <t>614-390-0913</t>
  </si>
  <si>
    <t>Raleigh Police Department</t>
  </si>
  <si>
    <t>1221 Front Street</t>
  </si>
  <si>
    <t>919-996-1187</t>
  </si>
  <si>
    <t>Kameron</t>
  </si>
  <si>
    <t>Abshire</t>
  </si>
  <si>
    <t>Kameron.Abshire@raleighnc.gov</t>
  </si>
  <si>
    <t>Crawford</t>
  </si>
  <si>
    <t>Master Officer</t>
  </si>
  <si>
    <t>eric.crawford@raleighnc.gov</t>
  </si>
  <si>
    <t>Kooiker</t>
  </si>
  <si>
    <t>Senior Officer</t>
  </si>
  <si>
    <t>scott.kooiker@raleighnc.gov</t>
  </si>
  <si>
    <t>Sligting-Yorke</t>
  </si>
  <si>
    <t>Public Affairs</t>
  </si>
  <si>
    <t>975 Meridian Lake Drive</t>
  </si>
  <si>
    <t>Aurora</t>
  </si>
  <si>
    <t>630-328-7235</t>
  </si>
  <si>
    <t>cjsligting@aaachicago.com</t>
  </si>
  <si>
    <t>Ronnie</t>
  </si>
  <si>
    <t>Allen</t>
  </si>
  <si>
    <t>Covington Police Department</t>
  </si>
  <si>
    <t>Specialist</t>
  </si>
  <si>
    <t>1 Police Memorial Drive</t>
  </si>
  <si>
    <t>Covington</t>
  </si>
  <si>
    <t>859-292-2254</t>
  </si>
  <si>
    <t>rallen@covingtonky.gov</t>
  </si>
  <si>
    <t>Stockton</t>
  </si>
  <si>
    <t>255 Diamante Way</t>
  </si>
  <si>
    <t>Oceanside</t>
  </si>
  <si>
    <t>760-685-0292</t>
  </si>
  <si>
    <t>editorlom@yahoo.com</t>
  </si>
  <si>
    <t>Katie</t>
  </si>
  <si>
    <t>Raboin</t>
  </si>
  <si>
    <t xml:space="preserve">Preusser Research Group, Inc. </t>
  </si>
  <si>
    <t>Senior Research Associate</t>
  </si>
  <si>
    <t>7100 Main Street</t>
  </si>
  <si>
    <t>Trumbull</t>
  </si>
  <si>
    <t>203-459-8700 x 104</t>
  </si>
  <si>
    <t>katie@preussergroup.com</t>
  </si>
  <si>
    <t>Illinois Dept of Transportation</t>
  </si>
  <si>
    <t>2300 S. Dirksen Parkway</t>
  </si>
  <si>
    <t>Bureau of Safety Engineering, Room 339</t>
  </si>
  <si>
    <t>Lorton</t>
  </si>
  <si>
    <t>Bureau Chief, Bureau of Safety Programs and Engineering</t>
  </si>
  <si>
    <t>217-782-3568</t>
  </si>
  <si>
    <t>paul.lorton@illinois.gov</t>
  </si>
  <si>
    <t>Arcangel</t>
  </si>
  <si>
    <t>Lieutenant, Guam Police - Patrol Division</t>
  </si>
  <si>
    <t>noemail@noemail.com</t>
  </si>
  <si>
    <t>Chad</t>
  </si>
  <si>
    <t>Mills</t>
  </si>
  <si>
    <t>Kentucky State Police</t>
  </si>
  <si>
    <t>919 Versailles Road</t>
  </si>
  <si>
    <t>502-782-5809</t>
  </si>
  <si>
    <t>chadwick.mills@ky.gov</t>
  </si>
  <si>
    <t>PJ</t>
  </si>
  <si>
    <t>Burnett</t>
  </si>
  <si>
    <t>502-782-1800</t>
  </si>
  <si>
    <t>pj.burnett@ky.gov</t>
  </si>
  <si>
    <t>Brandon</t>
  </si>
  <si>
    <t>Brooks</t>
  </si>
  <si>
    <t>Trooper</t>
  </si>
  <si>
    <t>brandon.brooks@ky.gov</t>
  </si>
  <si>
    <t>Rafferty</t>
  </si>
  <si>
    <t>christopher.rafferty@ky.gov</t>
  </si>
  <si>
    <t>Phelps</t>
  </si>
  <si>
    <t>james.phelps@ky.gov</t>
  </si>
  <si>
    <t>Jerry</t>
  </si>
  <si>
    <t>jerryg.jones@ky.gov</t>
  </si>
  <si>
    <t>jason.morris@ky.gov</t>
  </si>
  <si>
    <t>Sean</t>
  </si>
  <si>
    <t>Wint</t>
  </si>
  <si>
    <t>mark.wint@ky.gov</t>
  </si>
  <si>
    <t>Hunter</t>
  </si>
  <si>
    <t>hunter.martin@ky.gov</t>
  </si>
  <si>
    <t>Hailey</t>
  </si>
  <si>
    <t>Doty</t>
  </si>
  <si>
    <t>Grants Administrator</t>
  </si>
  <si>
    <t>hailey.doty@ky.gov</t>
  </si>
  <si>
    <t>Jack</t>
  </si>
  <si>
    <t>Hedges</t>
  </si>
  <si>
    <t>jack.hedges@ky.gov</t>
  </si>
  <si>
    <t>Parkos</t>
  </si>
  <si>
    <t>Instructor</t>
  </si>
  <si>
    <t>richard.parkos@ky.gov</t>
  </si>
  <si>
    <t xml:space="preserve">Maria </t>
  </si>
  <si>
    <t>Vegega</t>
  </si>
  <si>
    <t xml:space="preserve">National Highway Traffic Safety Administration </t>
  </si>
  <si>
    <t>202-366-2668</t>
  </si>
  <si>
    <t>maria.vegega@dot.gov</t>
  </si>
  <si>
    <t>202-366-1755</t>
  </si>
  <si>
    <t>karen.heath@dot.gov</t>
  </si>
  <si>
    <t>Marshall</t>
  </si>
  <si>
    <t>Holliday</t>
  </si>
  <si>
    <t>Lexington-Fayette Urban County Government Police</t>
  </si>
  <si>
    <t>150 E. Main Street</t>
  </si>
  <si>
    <t>Lexington</t>
  </si>
  <si>
    <t>859-425-2356</t>
  </si>
  <si>
    <t>cholliday@lexingtonpolice.ky.gov</t>
  </si>
  <si>
    <t>Muravchick</t>
  </si>
  <si>
    <t>859-258-3600</t>
  </si>
  <si>
    <t>bmuravchick@lexingtonpolice.ky.gov</t>
  </si>
  <si>
    <t>University of North Carolina Highway Safety Research Center</t>
  </si>
  <si>
    <t>CB# 3430</t>
  </si>
  <si>
    <t>730 Martin Luther King Blvd, Suite 300</t>
  </si>
  <si>
    <t>Chapel Hill</t>
  </si>
  <si>
    <t>919-962-8721</t>
  </si>
  <si>
    <t>hall@hsrc.unc.edu</t>
  </si>
  <si>
    <t>Matano</t>
  </si>
  <si>
    <t>Danville Police Department</t>
  </si>
  <si>
    <t>445 West Main Street</t>
  </si>
  <si>
    <t>Danville</t>
  </si>
  <si>
    <t>859-238-1224</t>
  </si>
  <si>
    <t>cmatano@danvilleky.org</t>
  </si>
  <si>
    <t>Zaro</t>
  </si>
  <si>
    <t>Lakewood Police Department</t>
  </si>
  <si>
    <t>9401 Lakewood Drive SW</t>
  </si>
  <si>
    <t>253-830-5000</t>
  </si>
  <si>
    <t>mzaro@cityoflakewood.us</t>
  </si>
  <si>
    <t>Snaza</t>
  </si>
  <si>
    <t>Lewis County Sheriff's Office</t>
  </si>
  <si>
    <t>345 West Main Street</t>
  </si>
  <si>
    <t>Chehalis</t>
  </si>
  <si>
    <t>360-740-1300</t>
  </si>
  <si>
    <t>robert.snaza@lewiscountywa.gov</t>
  </si>
  <si>
    <t>Abeita</t>
  </si>
  <si>
    <t>Isleta Police Department</t>
  </si>
  <si>
    <t>Traffic Officer</t>
  </si>
  <si>
    <t>3950 Highway 47</t>
  </si>
  <si>
    <t>Isleta</t>
  </si>
  <si>
    <t>505-869-3030</t>
  </si>
  <si>
    <t>poi06052@Isletapueblo.com</t>
  </si>
  <si>
    <t>Jeremy</t>
  </si>
  <si>
    <t>Slinker</t>
  </si>
  <si>
    <t>502-782-1779</t>
  </si>
  <si>
    <t>jeremy.slinker@ky.gov</t>
  </si>
  <si>
    <t>Osbourn</t>
  </si>
  <si>
    <t>TN Dept. of Safety &amp; Homeland Security</t>
  </si>
  <si>
    <t>TITAN Program Director</t>
  </si>
  <si>
    <t>1150 Foster Avenue</t>
  </si>
  <si>
    <t>THP RPD-TITAN Division</t>
  </si>
  <si>
    <t>615-743-4967</t>
  </si>
  <si>
    <t>christopher.osbourn@tn.gov</t>
  </si>
  <si>
    <t>Lioi</t>
  </si>
  <si>
    <t>Maryland State Police</t>
  </si>
  <si>
    <t>Lt. Colonel</t>
  </si>
  <si>
    <t>1201 Reisterstown Road</t>
  </si>
  <si>
    <t>Pikesville</t>
  </si>
  <si>
    <t>443-277-3868</t>
  </si>
  <si>
    <t>frank.lioi@maryland.gov</t>
  </si>
  <si>
    <t xml:space="preserve">Matthew </t>
  </si>
  <si>
    <t>Romero</t>
  </si>
  <si>
    <t>New Mexico State Police</t>
  </si>
  <si>
    <t>P.O. BOX 1455</t>
  </si>
  <si>
    <t>Socorro</t>
  </si>
  <si>
    <t>575-781-1290</t>
  </si>
  <si>
    <t>matthew.romero1@state.nm.us</t>
  </si>
  <si>
    <t>Cathy</t>
  </si>
  <si>
    <t>Rossi</t>
  </si>
  <si>
    <t>AAA Club Alliance</t>
  </si>
  <si>
    <t>Vice-President, Public &amp; Government Affairs</t>
  </si>
  <si>
    <t>1 River Place</t>
  </si>
  <si>
    <t>Wilmington</t>
  </si>
  <si>
    <t>302-299-4193</t>
  </si>
  <si>
    <t>crossi@aaamidatlantic.com</t>
  </si>
  <si>
    <t>Thornton</t>
  </si>
  <si>
    <t>P.O. BOX 1628</t>
  </si>
  <si>
    <t>505-827-9054</t>
  </si>
  <si>
    <t>Cheryl</t>
  </si>
  <si>
    <t>Parker</t>
  </si>
  <si>
    <t>Regional Director, Public &amp; Government Affairs</t>
  </si>
  <si>
    <t>15 West Central Parkway</t>
  </si>
  <si>
    <t>Cincinnati</t>
  </si>
  <si>
    <t>513-560-0972</t>
  </si>
  <si>
    <t>cparker@aaa-alliedgroup.com</t>
  </si>
  <si>
    <t>Maria</t>
  </si>
  <si>
    <t>Goldman</t>
  </si>
  <si>
    <t>Youth Leader</t>
  </si>
  <si>
    <t>maria.goldman2@gmail.com</t>
  </si>
  <si>
    <t>Wade</t>
  </si>
  <si>
    <t>hlwade@mail.lipscomb.edu</t>
  </si>
  <si>
    <t>Sims</t>
  </si>
  <si>
    <t>Executive Director/Governor's Representative</t>
  </si>
  <si>
    <t>rsims@dps.ms.gov</t>
  </si>
  <si>
    <t>Liz</t>
  </si>
  <si>
    <t>Lopez</t>
  </si>
  <si>
    <t>Puerto Rico Traffic Safety Commission</t>
  </si>
  <si>
    <t>Operations Director</t>
  </si>
  <si>
    <t>P.O. Box 41289</t>
  </si>
  <si>
    <t>Santurce</t>
  </si>
  <si>
    <t>787-721-4142</t>
  </si>
  <si>
    <t>llopez@cst.pr.gov</t>
  </si>
  <si>
    <t>Wallace</t>
  </si>
  <si>
    <t>Region 7 LEL</t>
  </si>
  <si>
    <t>401 W Sycamore St.</t>
  </si>
  <si>
    <t>Greensboro</t>
  </si>
  <si>
    <t>336-462-7263</t>
  </si>
  <si>
    <t>kwallac@co.guilford.nc.us</t>
  </si>
  <si>
    <t>Meriwether</t>
  </si>
  <si>
    <t>Alabama Department of Economic and Community Affairs</t>
  </si>
  <si>
    <t>Highway Traffic Safety Program Manager</t>
  </si>
  <si>
    <t>401 Adams Avenue, Suite 474</t>
  </si>
  <si>
    <t>Montgomery</t>
  </si>
  <si>
    <t>334-242-5897</t>
  </si>
  <si>
    <t>sam.meriwether@adeca.alabama.gov</t>
  </si>
  <si>
    <t>Biesty</t>
  </si>
  <si>
    <t>Arizona Dept. of Transportation</t>
  </si>
  <si>
    <t>Deputy Director for Policy</t>
  </si>
  <si>
    <t>206 S. 17th Avenue</t>
  </si>
  <si>
    <t>602-712-7550</t>
  </si>
  <si>
    <t>kbiesty@azdot.gov</t>
  </si>
  <si>
    <t>San Francisco</t>
  </si>
  <si>
    <t>Charlie</t>
  </si>
  <si>
    <t>Klauer</t>
  </si>
  <si>
    <t>Virginia Tech Transportation Institute</t>
  </si>
  <si>
    <t>3500 Transportation Research Plaza</t>
  </si>
  <si>
    <t>Blacksburg</t>
  </si>
  <si>
    <t>540-231-1564</t>
  </si>
  <si>
    <t>cklauer@vtti.vt.edu</t>
  </si>
  <si>
    <t>Heiland</t>
  </si>
  <si>
    <t>U-Haul International Inc.</t>
  </si>
  <si>
    <t>2727 N. Central Ave.</t>
  </si>
  <si>
    <t>480-568-0389</t>
  </si>
  <si>
    <t>john_heiland@uhaul.com</t>
  </si>
  <si>
    <t>Marco</t>
  </si>
  <si>
    <t>Director, Engineering Services</t>
  </si>
  <si>
    <t>623-738-1183</t>
  </si>
  <si>
    <t>marco_garcia@uhaul.com</t>
  </si>
  <si>
    <t>Quicha</t>
  </si>
  <si>
    <t>Floyd</t>
  </si>
  <si>
    <t>Engineer</t>
  </si>
  <si>
    <t>704-995-9870</t>
  </si>
  <si>
    <t>quicha_floyd@uhaul.com</t>
  </si>
  <si>
    <t>Quire</t>
  </si>
  <si>
    <t>Frankfort Police Department</t>
  </si>
  <si>
    <t>300 West Second St</t>
  </si>
  <si>
    <t>502-875-8523</t>
  </si>
  <si>
    <t>gquire@frankfort.ky.gov</t>
  </si>
  <si>
    <t>Josh</t>
  </si>
  <si>
    <t>bonnie@adeptdriver.com</t>
  </si>
  <si>
    <t>Santilli</t>
  </si>
  <si>
    <t>Transportation Improvement Association</t>
  </si>
  <si>
    <t>100 E. Big Beaver Rd., Suite 910</t>
  </si>
  <si>
    <t>248-334-4971</t>
  </si>
  <si>
    <t>jsantilli@tiasafety.us</t>
  </si>
  <si>
    <t>Carol Ann</t>
  </si>
  <si>
    <t>Lobo Johnson</t>
  </si>
  <si>
    <t>Young Minds Inspired</t>
  </si>
  <si>
    <t>Director, Education Partnershiips</t>
  </si>
  <si>
    <t>P.O. Box 513</t>
  </si>
  <si>
    <t>Marlboro</t>
  </si>
  <si>
    <t>802-251-0934</t>
  </si>
  <si>
    <t>c.lobo@ymiclassroom.com</t>
  </si>
  <si>
    <t>Kirsch</t>
  </si>
  <si>
    <t>Be Crash Free</t>
  </si>
  <si>
    <t>VP of Sales &amp; Operations</t>
  </si>
  <si>
    <t>P.O. Box 74</t>
  </si>
  <si>
    <t>Star</t>
  </si>
  <si>
    <t>760-881-5257</t>
  </si>
  <si>
    <t>steve@becrashfree.com</t>
  </si>
  <si>
    <t>Jackie</t>
  </si>
  <si>
    <t>McCarthy</t>
  </si>
  <si>
    <t>CTIA</t>
  </si>
  <si>
    <t>Assistant Vice President - Regulatory Affairs</t>
  </si>
  <si>
    <t>1400 16th Street, NW</t>
  </si>
  <si>
    <t>Suite 600</t>
  </si>
  <si>
    <t>202-736-3246</t>
  </si>
  <si>
    <t>jmccarthy@ctia.org</t>
  </si>
  <si>
    <t>Barry</t>
  </si>
  <si>
    <t>Tennessee District Attorneys General Conference</t>
  </si>
  <si>
    <t>226 Capitol Blvd.</t>
  </si>
  <si>
    <t>615-741-1696</t>
  </si>
  <si>
    <t>bawilliams@tndagc.org</t>
  </si>
  <si>
    <t>Wood</t>
  </si>
  <si>
    <t>tewood@tndagc.org</t>
  </si>
  <si>
    <t>Lowery</t>
  </si>
  <si>
    <t>Glasgow Police Department</t>
  </si>
  <si>
    <t>P.O. Box 278</t>
  </si>
  <si>
    <t>101 Pin Oak Lane</t>
  </si>
  <si>
    <t>Glasgow</t>
  </si>
  <si>
    <t>270-651-6165</t>
  </si>
  <si>
    <t>clowery@glasgowpd.com</t>
  </si>
  <si>
    <t>Chelsie</t>
  </si>
  <si>
    <t>Hubicsak-Muldowney</t>
  </si>
  <si>
    <t>Injury Prevention Center</t>
  </si>
  <si>
    <t>One Medical Center Drive</t>
  </si>
  <si>
    <t>Lebanon</t>
  </si>
  <si>
    <t>603-308-2253</t>
  </si>
  <si>
    <t>Reich</t>
  </si>
  <si>
    <t>The National Road Safety Foundation Inc.</t>
  </si>
  <si>
    <t>Public Relations Director</t>
  </si>
  <si>
    <t>228 East 45 St</t>
  </si>
  <si>
    <t>Suite 11S</t>
  </si>
  <si>
    <t>New York</t>
  </si>
  <si>
    <t>212-573-6000</t>
  </si>
  <si>
    <t>david@reichcommunications.com</t>
  </si>
  <si>
    <t>Pence</t>
  </si>
  <si>
    <t>Texas Traffic Safety Section</t>
  </si>
  <si>
    <t>Traffic Safety Director</t>
  </si>
  <si>
    <t>125 E. 11th St.</t>
  </si>
  <si>
    <t>512-416-3167</t>
  </si>
  <si>
    <t>terry.pence@txdot.gov</t>
  </si>
  <si>
    <t>Felice</t>
  </si>
  <si>
    <t>Moretti</t>
  </si>
  <si>
    <t>Ohio Traffic Safety Office</t>
  </si>
  <si>
    <t>Program Administrator</t>
  </si>
  <si>
    <t>1970 W. Broad St.</t>
  </si>
  <si>
    <t>Room 426</t>
  </si>
  <si>
    <t>Columbus</t>
  </si>
  <si>
    <t>614-644-7641</t>
  </si>
  <si>
    <t>fmoretti@dps.state.oh.us</t>
  </si>
  <si>
    <t>Herbert</t>
  </si>
  <si>
    <t>Homan</t>
  </si>
  <si>
    <t>Staff Lieutenant</t>
  </si>
  <si>
    <t>P.O. Box 182074</t>
  </si>
  <si>
    <t>614-752-7861</t>
  </si>
  <si>
    <t>hhoman@dps.ohio.gov</t>
  </si>
  <si>
    <t>Schwendau</t>
  </si>
  <si>
    <t>200 Mero Street</t>
  </si>
  <si>
    <t>502-782-3985</t>
  </si>
  <si>
    <t>Michael.Schwendau@ky.gov</t>
  </si>
  <si>
    <t>Noelle</t>
  </si>
  <si>
    <t>502-782-3983</t>
  </si>
  <si>
    <t>noelle.hunter@ky.gov</t>
  </si>
  <si>
    <t>Executive Assistant</t>
  </si>
  <si>
    <t>502-564-1438</t>
  </si>
  <si>
    <t>karen.hall@ky.gov</t>
  </si>
  <si>
    <t>Barbara</t>
  </si>
  <si>
    <t>Schulte</t>
  </si>
  <si>
    <t>Administrative Specialist III</t>
  </si>
  <si>
    <t>barbara.schulte@ky.gov</t>
  </si>
  <si>
    <t>Eggen</t>
  </si>
  <si>
    <t>erin.eggen@ky.gov</t>
  </si>
  <si>
    <t>Fisher</t>
  </si>
  <si>
    <t>Financial Manager</t>
  </si>
  <si>
    <t>502-417-3328</t>
  </si>
  <si>
    <t>Holly</t>
  </si>
  <si>
    <t>Crosthwaite</t>
  </si>
  <si>
    <t>Internal Policy Analyst II</t>
  </si>
  <si>
    <t>holly.crosthwaite@ky.gov</t>
  </si>
  <si>
    <t>McCoy</t>
  </si>
  <si>
    <t>502-803-5953</t>
  </si>
  <si>
    <t>matt.mccoy@ky.gov</t>
  </si>
  <si>
    <t>Nathan</t>
  </si>
  <si>
    <t>Dean</t>
  </si>
  <si>
    <t>nathanr.dean@ky.gov</t>
  </si>
  <si>
    <t>jonathan.moore@ky.gov</t>
  </si>
  <si>
    <t>Kim</t>
  </si>
  <si>
    <t>Carter</t>
  </si>
  <si>
    <t>kim.carter@ky.gov</t>
  </si>
  <si>
    <t>Leslie</t>
  </si>
  <si>
    <t>Kennedy</t>
  </si>
  <si>
    <t>Internal Policy Analyst III</t>
  </si>
  <si>
    <t>502-782-4025</t>
  </si>
  <si>
    <t>Leslie.Kennedy@ky.gov</t>
  </si>
  <si>
    <t>DeAnn</t>
  </si>
  <si>
    <t>Cinquino</t>
  </si>
  <si>
    <t>502-564-9900 x3603</t>
  </si>
  <si>
    <t>DeAnn.Cinquino@ky.gov</t>
  </si>
  <si>
    <t>Franklin</t>
  </si>
  <si>
    <t>Administrative Branch Manager</t>
  </si>
  <si>
    <t>502-782-3989</t>
  </si>
  <si>
    <t>brad.franklin@ky.gov</t>
  </si>
  <si>
    <t>tom.miller@ky.gov</t>
  </si>
  <si>
    <t>jeffrey.daniel@ky.gov</t>
  </si>
  <si>
    <t>williamt.collins@ky.gov</t>
  </si>
  <si>
    <t>Tiffany</t>
  </si>
  <si>
    <t>Duvall</t>
  </si>
  <si>
    <t>tiffanyl.duvall@ky.gov</t>
  </si>
  <si>
    <t>Dye</t>
  </si>
  <si>
    <t>Law Enforcement Liasion</t>
  </si>
  <si>
    <t>1929 Lakewood Drive</t>
  </si>
  <si>
    <t>troy.dye@ky.gov</t>
  </si>
  <si>
    <t>Dennison</t>
  </si>
  <si>
    <t>4191 Sinks Road</t>
  </si>
  <si>
    <t>Caneyville</t>
  </si>
  <si>
    <t>502-330-0734</t>
  </si>
  <si>
    <t>Greg.Dennison@ky.gov</t>
  </si>
  <si>
    <t>Bobby</t>
  </si>
  <si>
    <t>Criswell</t>
  </si>
  <si>
    <t>1117 Devane Lane</t>
  </si>
  <si>
    <t>502-229-4337</t>
  </si>
  <si>
    <t>bob.criswell@ky.gov</t>
  </si>
  <si>
    <t>315 West Second Street</t>
  </si>
  <si>
    <t>Go</t>
  </si>
  <si>
    <t>Aoyama</t>
  </si>
  <si>
    <t>Senior Engineer</t>
  </si>
  <si>
    <t>202-467-5097</t>
  </si>
  <si>
    <t>gaoyama@mazdausa.com</t>
  </si>
  <si>
    <t>Calmeise</t>
  </si>
  <si>
    <t>District of Columbia Department of Transportation</t>
  </si>
  <si>
    <t>Hearing/FOIA Officer</t>
  </si>
  <si>
    <t>55 M Street, SE</t>
  </si>
  <si>
    <t>202-673-6794</t>
  </si>
  <si>
    <t>karen.calmeise@dc.gov</t>
  </si>
  <si>
    <t>Jake</t>
  </si>
  <si>
    <t>Director, Traffic Safety Advocacy &amp; Research</t>
  </si>
  <si>
    <t>607 14th Street, NW</t>
  </si>
  <si>
    <t>202-942-2063</t>
  </si>
  <si>
    <t>jnelson@national.aaa.com</t>
  </si>
  <si>
    <t>Deborah</t>
  </si>
  <si>
    <t>Hersman</t>
  </si>
  <si>
    <t>800-621-7615</t>
  </si>
  <si>
    <t>Debbie.Hersman@nsc.org</t>
  </si>
  <si>
    <t>Patterson</t>
  </si>
  <si>
    <t>955 Angelica Street</t>
  </si>
  <si>
    <t>Bowling Green</t>
  </si>
  <si>
    <t>bruce.patterson@ky.gov</t>
  </si>
  <si>
    <t>Bortz</t>
  </si>
  <si>
    <t>Kansas Department of Transportation</t>
  </si>
  <si>
    <t>Traffic Safety Manager</t>
  </si>
  <si>
    <t>Dwight D. Eisenhower State Office Building</t>
  </si>
  <si>
    <t>700 SW Harrison Street</t>
  </si>
  <si>
    <t>785-296-3553</t>
  </si>
  <si>
    <t>cbortz@ksdot.org</t>
  </si>
  <si>
    <t>Herman</t>
  </si>
  <si>
    <t>Assistant Traffic Safety Manager</t>
  </si>
  <si>
    <t>785-296-0294</t>
  </si>
  <si>
    <t>gary.herman@ks.gov</t>
  </si>
  <si>
    <t>Wright</t>
  </si>
  <si>
    <t>Warren County Sheriff's Office</t>
  </si>
  <si>
    <t>429 East Tenth Street</t>
  </si>
  <si>
    <t>Suite 102</t>
  </si>
  <si>
    <t>270-842-1633</t>
  </si>
  <si>
    <t>jwright@wcsoky.net</t>
  </si>
  <si>
    <t>Sorel</t>
  </si>
  <si>
    <t>701-328-2581</t>
  </si>
  <si>
    <t>tsorel@nd.gov</t>
  </si>
  <si>
    <t>Haddix</t>
  </si>
  <si>
    <t>Jackson Police Department</t>
  </si>
  <si>
    <t>Sgt</t>
  </si>
  <si>
    <t>333 Broadway St</t>
  </si>
  <si>
    <t>606-666-2424</t>
  </si>
  <si>
    <t>jacksonpolice404@gmail.com</t>
  </si>
  <si>
    <t>Rush</t>
  </si>
  <si>
    <t>Madisonville Police Department</t>
  </si>
  <si>
    <t>Administrative Lieutenant</t>
  </si>
  <si>
    <t>99 East Center Street</t>
  </si>
  <si>
    <t>Madisonville</t>
  </si>
  <si>
    <t>270-824-2121 ext. 2010</t>
  </si>
  <si>
    <t>arush@madisonvillepd.com</t>
  </si>
  <si>
    <t>Alfredo</t>
  </si>
  <si>
    <t>Martell</t>
  </si>
  <si>
    <t>Draeger Safety Diagnostics Inc.</t>
  </si>
  <si>
    <t>Product Manager</t>
  </si>
  <si>
    <t>4040 W. Royal Lane</t>
  </si>
  <si>
    <t>Irving</t>
  </si>
  <si>
    <t>469-503-7733</t>
  </si>
  <si>
    <t>alfredo.martell@draeger.com</t>
  </si>
  <si>
    <t>Charlton</t>
  </si>
  <si>
    <t>American Trucking Associations</t>
  </si>
  <si>
    <t>Share the Road Professional Driver</t>
  </si>
  <si>
    <t>950 North Glebe Road</t>
  </si>
  <si>
    <t>Suite 210</t>
  </si>
  <si>
    <t>703-838-1700</t>
  </si>
  <si>
    <t>goodstuff@trucking.org</t>
  </si>
  <si>
    <t>Romana</t>
  </si>
  <si>
    <t>Lavalas</t>
  </si>
  <si>
    <t>National District Attorneys Association</t>
  </si>
  <si>
    <t xml:space="preserve">Senior Attorney </t>
  </si>
  <si>
    <t xml:space="preserve">1400 Crystal Dr. </t>
  </si>
  <si>
    <t>Suite 330</t>
  </si>
  <si>
    <t>703-519-1674</t>
  </si>
  <si>
    <t>rlavalas@ndaajustice.org</t>
  </si>
  <si>
    <t>Tommy</t>
  </si>
  <si>
    <t>Lyft</t>
  </si>
  <si>
    <t>Policy Partnership Manager</t>
  </si>
  <si>
    <t>185 Berry</t>
  </si>
  <si>
    <t>Suite 5000</t>
  </si>
  <si>
    <t>thayes@lyft.com</t>
  </si>
  <si>
    <t>Miles</t>
  </si>
  <si>
    <t>Wisconsin State Laboratory of Hygiene</t>
  </si>
  <si>
    <t>Forensic Toxicology Section Director</t>
  </si>
  <si>
    <t>P.O. Box 7996</t>
  </si>
  <si>
    <t>608-224-6247</t>
  </si>
  <si>
    <t>amy.miles@slh.wisc.edu</t>
  </si>
  <si>
    <t>McLeod</t>
  </si>
  <si>
    <t>National Governors Association</t>
  </si>
  <si>
    <t>444 North Capitol Street</t>
  </si>
  <si>
    <t>Suite 267</t>
  </si>
  <si>
    <t>202-624-5311</t>
  </si>
  <si>
    <t>jmcleod@nga.org</t>
  </si>
  <si>
    <t>Emington</t>
  </si>
  <si>
    <t>Northrop Grumman - TRIMARC</t>
  </si>
  <si>
    <t>Operations Manager</t>
  </si>
  <si>
    <t>W. Main Street</t>
  </si>
  <si>
    <t>tim.emington@ngc.com</t>
  </si>
  <si>
    <t>Rolf</t>
  </si>
  <si>
    <t>Eisinger</t>
  </si>
  <si>
    <t>Louisville Metro Department of Public Works and Assets</t>
  </si>
  <si>
    <t>Bicycle and Pedestrian Coordinator</t>
  </si>
  <si>
    <t>444 South 5th Street</t>
  </si>
  <si>
    <t>502-574-6473</t>
  </si>
  <si>
    <t>rolf.eisinger@louisvilleky.gov</t>
  </si>
  <si>
    <t>Knuckles</t>
  </si>
  <si>
    <t>Barbourville Police Department</t>
  </si>
  <si>
    <t>P.O. Box 1300</t>
  </si>
  <si>
    <t>Barbourville</t>
  </si>
  <si>
    <t>606-546-4562</t>
  </si>
  <si>
    <t>jake.knuckles@barbourville.com</t>
  </si>
  <si>
    <t>Blower</t>
  </si>
  <si>
    <t>University of Michigan Transportation Research Institute</t>
  </si>
  <si>
    <t>Associate Research Scientist Emeritus</t>
  </si>
  <si>
    <t>2901 Baxter Rd.</t>
  </si>
  <si>
    <t>Ann Arbor</t>
  </si>
  <si>
    <t>734-763-6079</t>
  </si>
  <si>
    <t>dfblower@umich.edu</t>
  </si>
  <si>
    <t>O'Leary</t>
  </si>
  <si>
    <t>202-366-0543</t>
  </si>
  <si>
    <t>bill.oleary@dot.gov</t>
  </si>
  <si>
    <t>Earl</t>
  </si>
  <si>
    <t>Federal Motor Carrier Safety Administration</t>
  </si>
  <si>
    <t>Senior Policy Advisor, Office of the Chief Safety Officer</t>
  </si>
  <si>
    <t>Suite W60-317</t>
  </si>
  <si>
    <t>202-366-3066</t>
  </si>
  <si>
    <t>earl.hardy@dot.gov</t>
  </si>
  <si>
    <t>Alice</t>
  </si>
  <si>
    <t>Quinn</t>
  </si>
  <si>
    <t>Northrop Grumman</t>
  </si>
  <si>
    <t>7575 Colshire Drive</t>
  </si>
  <si>
    <t>McLean</t>
  </si>
  <si>
    <t>703-556-2117</t>
  </si>
  <si>
    <t>Alice.Quinn@ngc.com</t>
  </si>
  <si>
    <t>Sullivan</t>
  </si>
  <si>
    <t>1782 Louisquisset Pike</t>
  </si>
  <si>
    <t>401-323-0494</t>
  </si>
  <si>
    <t>richard.sullivan@risp.gov</t>
  </si>
  <si>
    <t>Duff</t>
  </si>
  <si>
    <t>Hazard Police Department</t>
  </si>
  <si>
    <t>800 High Street</t>
  </si>
  <si>
    <t>Hazard</t>
  </si>
  <si>
    <t>606-436-2222</t>
  </si>
  <si>
    <t>jason.duff@hazardpd.org</t>
  </si>
  <si>
    <t>Henry</t>
  </si>
  <si>
    <t>Fort Hall Police Department</t>
  </si>
  <si>
    <t>Indian Highway Safety Officer</t>
  </si>
  <si>
    <t>Fort Hall</t>
  </si>
  <si>
    <t>208-238-4000</t>
  </si>
  <si>
    <t>lortiz@sbtribes.com</t>
  </si>
  <si>
    <t>Hutchison</t>
  </si>
  <si>
    <t>National Sheriffs' Association</t>
  </si>
  <si>
    <t>Director: Triad, Traffic and Officer Safety; Staff Liaison: Drug Enforcement, Traffic Safety</t>
  </si>
  <si>
    <t>1450 Duke Street</t>
  </si>
  <si>
    <t>800-424-7827 x326</t>
  </si>
  <si>
    <t>ehutchison@sheriffs.org</t>
  </si>
  <si>
    <t>Hayhow</t>
  </si>
  <si>
    <t>Department Manager</t>
  </si>
  <si>
    <t>4681 Lanam Ridge Road</t>
  </si>
  <si>
    <t>317- 696-8901</t>
  </si>
  <si>
    <t>jeffrey.hayhow@ngc.com</t>
  </si>
  <si>
    <t>McLemore</t>
  </si>
  <si>
    <t>6059B Edgemont Way</t>
  </si>
  <si>
    <t>Shelbyville</t>
  </si>
  <si>
    <t>502-229-2407</t>
  </si>
  <si>
    <t>william.mclemore@ngc.com</t>
  </si>
  <si>
    <t>Dirk</t>
  </si>
  <si>
    <t>Gowin</t>
  </si>
  <si>
    <t>Engineer Manager</t>
  </si>
  <si>
    <t>502-574-5925</t>
  </si>
  <si>
    <t>dirk.gowin@louisvilleky.gov</t>
  </si>
  <si>
    <t>Callihan</t>
  </si>
  <si>
    <t>Director of Transportation</t>
  </si>
  <si>
    <t>502-574-8140</t>
  </si>
  <si>
    <t>john.callihan@louisvilleky.gov</t>
  </si>
  <si>
    <t>Weiser</t>
  </si>
  <si>
    <t>Delaware Department of Transportation</t>
  </si>
  <si>
    <t>Safety Programs Manager</t>
  </si>
  <si>
    <t>169 Brick Store Landing Road</t>
  </si>
  <si>
    <t>SMYRNA</t>
  </si>
  <si>
    <t>(302) 659-4073</t>
  </si>
  <si>
    <t>Adam.Weiser@state.de.us</t>
  </si>
  <si>
    <t>MPH</t>
  </si>
  <si>
    <t>University of California San Diego</t>
  </si>
  <si>
    <t>Director, TREDS</t>
  </si>
  <si>
    <t>9500 Gilman Drive</t>
  </si>
  <si>
    <t>Mail Stop 0811</t>
  </si>
  <si>
    <t>San Diego</t>
  </si>
  <si>
    <t>858-534-9550</t>
  </si>
  <si>
    <t>llhill@ucsd.edu</t>
  </si>
  <si>
    <t>Bruner</t>
  </si>
  <si>
    <t>Michelin North America Inc.</t>
  </si>
  <si>
    <t>Director of External Communications</t>
  </si>
  <si>
    <t>One Parkway South</t>
  </si>
  <si>
    <t>866-866-6605</t>
  </si>
  <si>
    <t>eric.bruner@michelin.com</t>
  </si>
  <si>
    <t>Deb</t>
  </si>
  <si>
    <t>Beidler</t>
  </si>
  <si>
    <t>Snohomish County Sheriff's Office</t>
  </si>
  <si>
    <t>Undersheriff</t>
  </si>
  <si>
    <t>3000 Rockefeller</t>
  </si>
  <si>
    <t>M/S 606</t>
  </si>
  <si>
    <t>Everett</t>
  </si>
  <si>
    <t>425-388-3535</t>
  </si>
  <si>
    <t>rob.beidler@snoco.org</t>
  </si>
  <si>
    <t>Ty</t>
  </si>
  <si>
    <t>Trenary</t>
  </si>
  <si>
    <t>North Carolina Department of Transportation</t>
  </si>
  <si>
    <t>Acting Director, Div. of Bicycle and Pedestrian Transportation</t>
  </si>
  <si>
    <t>1552 Mail Service Center</t>
  </si>
  <si>
    <t>Doble</t>
  </si>
  <si>
    <t>National Transportation Safety Board</t>
  </si>
  <si>
    <t>WASHINGTON</t>
  </si>
  <si>
    <t>202-314-6593</t>
  </si>
  <si>
    <t>nathan.doble@ntsb.gov</t>
  </si>
  <si>
    <t>Jose</t>
  </si>
  <si>
    <t>Velazquez</t>
  </si>
  <si>
    <t>Special Assistant</t>
  </si>
  <si>
    <t>Minillas Station</t>
  </si>
  <si>
    <t>Puerto Rico</t>
  </si>
  <si>
    <t>939-264-958</t>
  </si>
  <si>
    <t>javelazquez@cst.pr.gov</t>
  </si>
  <si>
    <t>Darelis</t>
  </si>
  <si>
    <t>San Juan</t>
  </si>
  <si>
    <t>787-723-3590</t>
  </si>
  <si>
    <t>dlopez@cst.pr.gov</t>
  </si>
  <si>
    <t>Oklahoma Highway Safety Office</t>
  </si>
  <si>
    <t>3223 N. Lincoln Boulevard</t>
  </si>
  <si>
    <t>405-523-1570</t>
  </si>
  <si>
    <t>Paul.Harris@dps.ok.gov</t>
  </si>
  <si>
    <t>Thompson</t>
  </si>
  <si>
    <t>Syracuse Police Department</t>
  </si>
  <si>
    <t>511 South State Street</t>
  </si>
  <si>
    <t>315-442-5250</t>
  </si>
  <si>
    <t>rthompson@syracusepolice.org</t>
  </si>
  <si>
    <t>Kay</t>
  </si>
  <si>
    <t>Brodbeck</t>
  </si>
  <si>
    <t>National Association of Women Highway Safety Leaders</t>
  </si>
  <si>
    <t>P.O. Box 1379</t>
  </si>
  <si>
    <t>Clinton</t>
  </si>
  <si>
    <t>601-924-7815</t>
  </si>
  <si>
    <t>kay@MSsafety.com</t>
  </si>
  <si>
    <t>Traube</t>
  </si>
  <si>
    <t>NHTSA/U.S. DOT</t>
  </si>
  <si>
    <t>Senior Engineer/Technical Lead</t>
  </si>
  <si>
    <t>Office W46-424</t>
  </si>
  <si>
    <t>202-366-5673</t>
  </si>
  <si>
    <t>eric.traube@dot.gov</t>
  </si>
  <si>
    <t>Dooley</t>
  </si>
  <si>
    <t>Mt. Washington Police Department</t>
  </si>
  <si>
    <t>180 Landis Lane</t>
  </si>
  <si>
    <t>Mt. Washington</t>
  </si>
  <si>
    <t>502-538-8143</t>
  </si>
  <si>
    <t>ddooley@mwpd.org</t>
  </si>
  <si>
    <t>Ballard</t>
  </si>
  <si>
    <t>Police Officer</t>
  </si>
  <si>
    <t>cballard@mwpd.org</t>
  </si>
  <si>
    <t>Basche</t>
  </si>
  <si>
    <t>Solutions Manager</t>
  </si>
  <si>
    <t>1241 West Mineral Avenue</t>
  </si>
  <si>
    <t>303-785-7828</t>
  </si>
  <si>
    <t>jbasche@scramsystems.com</t>
  </si>
  <si>
    <t>Garin</t>
  </si>
  <si>
    <t>Toren</t>
  </si>
  <si>
    <t>messageLOUD</t>
  </si>
  <si>
    <t>150 E 85 St</t>
  </si>
  <si>
    <t>Suite 4D</t>
  </si>
  <si>
    <t>garintoren@messageloud.com</t>
  </si>
  <si>
    <t>Adrian</t>
  </si>
  <si>
    <t>Lund</t>
  </si>
  <si>
    <t>1005 North Glebe Road</t>
  </si>
  <si>
    <t>703-247-1570</t>
  </si>
  <si>
    <t>alund@iihs.org</t>
  </si>
  <si>
    <t>AT&amp;T</t>
  </si>
  <si>
    <t>Senior Marketing Manager</t>
  </si>
  <si>
    <t>208 S. Akard Street</t>
  </si>
  <si>
    <t>Dallas</t>
  </si>
  <si>
    <t>214-435-6980</t>
  </si>
  <si>
    <t>mh924m@att.com</t>
  </si>
  <si>
    <t xml:space="preserve"> </t>
  </si>
  <si>
    <t>646-719-1496</t>
  </si>
  <si>
    <t>502-817-2659</t>
  </si>
  <si>
    <t>925-876-2262</t>
  </si>
  <si>
    <t>202-326-5587</t>
  </si>
  <si>
    <t>512-559-3539</t>
  </si>
  <si>
    <t>302-744-2740</t>
  </si>
  <si>
    <t>Coffey</t>
  </si>
  <si>
    <t>817-307-4992</t>
  </si>
  <si>
    <t>dcoffey@smartstartinc.com</t>
  </si>
  <si>
    <t>Toby</t>
  </si>
  <si>
    <t>Vice President, Regulatory Compliance</t>
  </si>
  <si>
    <t>toby.taylor@smartstartinc.com</t>
  </si>
  <si>
    <t>Vonderharr</t>
  </si>
  <si>
    <t>Alliance Highway Safety</t>
  </si>
  <si>
    <t>Director of Marketing &amp; Business</t>
  </si>
  <si>
    <t>201 22nd Avenue North</t>
  </si>
  <si>
    <t>Suite B</t>
  </si>
  <si>
    <t>615-469-0228</t>
  </si>
  <si>
    <t>brandon@alliancehighwaysafety.com</t>
  </si>
  <si>
    <t>Bennett</t>
  </si>
  <si>
    <t>Director of Sales</t>
  </si>
  <si>
    <t>jason@alliancehighwaysafety.com</t>
  </si>
  <si>
    <t>Snyder</t>
  </si>
  <si>
    <t>Partner</t>
  </si>
  <si>
    <t>chris@alliancehighwaysafety.com</t>
  </si>
  <si>
    <t>Gladden</t>
  </si>
  <si>
    <t>VP</t>
  </si>
  <si>
    <t>rgladden@msf-usa.org</t>
  </si>
  <si>
    <t>Gilmer</t>
  </si>
  <si>
    <t>Intoximeters Inc.</t>
  </si>
  <si>
    <t>Manager, State &amp; Federal Law Enforcement Products</t>
  </si>
  <si>
    <t>2081 Craig Road</t>
  </si>
  <si>
    <t>St. Louis</t>
  </si>
  <si>
    <t>800-451-8639</t>
  </si>
  <si>
    <t>mgilmer@intox.com</t>
  </si>
  <si>
    <t>Stacey</t>
  </si>
  <si>
    <t>Axmaker</t>
  </si>
  <si>
    <t>208-908-3595</t>
  </si>
  <si>
    <t>ax@becrashfree.com</t>
  </si>
  <si>
    <t>Struble</t>
  </si>
  <si>
    <t>12441 West 49th Ave</t>
  </si>
  <si>
    <t>Suite 4</t>
  </si>
  <si>
    <t>sarah@lifeloc.com</t>
  </si>
  <si>
    <t>Bain</t>
  </si>
  <si>
    <t>Life Changing Experiences</t>
  </si>
  <si>
    <t>Vice President of Operations</t>
  </si>
  <si>
    <t>P.O. Box 16322</t>
  </si>
  <si>
    <t>High Point</t>
  </si>
  <si>
    <t>336-740-0530</t>
  </si>
  <si>
    <t>kenneth.bain@mobilecinemapark.com</t>
  </si>
  <si>
    <t>Bowron</t>
  </si>
  <si>
    <t>Lifesafer</t>
  </si>
  <si>
    <t>State Director</t>
  </si>
  <si>
    <t>833 Esther Ln</t>
  </si>
  <si>
    <t>Murfreesboro</t>
  </si>
  <si>
    <t>615-397-7523</t>
  </si>
  <si>
    <t>glenn.bowron@guardianinterlock.com</t>
  </si>
  <si>
    <t>Diageo North America</t>
  </si>
  <si>
    <t>Corporate Relations, Director, Alcohol Policy &amp; Reputation Mgmt.</t>
  </si>
  <si>
    <t>801 Main Avenue</t>
  </si>
  <si>
    <t>Norwalk</t>
  </si>
  <si>
    <t>203-229-4398</t>
  </si>
  <si>
    <t>danielle.robinson@diageo.com</t>
  </si>
  <si>
    <t>Nick</t>
  </si>
  <si>
    <t>Guzzo</t>
  </si>
  <si>
    <t>763-424-1000</t>
  </si>
  <si>
    <t>nick.guzzo@allovermedia.com</t>
  </si>
  <si>
    <t>888-937-9646</t>
  </si>
  <si>
    <t>Lawrence</t>
  </si>
  <si>
    <t>Transportation Safety Institute</t>
  </si>
  <si>
    <t>Senior Advisor</t>
  </si>
  <si>
    <t>6500 S. MacArthur Blvd.</t>
  </si>
  <si>
    <t>405-954-3159</t>
  </si>
  <si>
    <t>christine.lawrence@dot.gov</t>
  </si>
  <si>
    <t>Stojsih</t>
  </si>
  <si>
    <t>Agate Software Inc.</t>
  </si>
  <si>
    <t>Account Manager</t>
  </si>
  <si>
    <t>2214 University Park Drive</t>
  </si>
  <si>
    <t>Okemos</t>
  </si>
  <si>
    <t>517-336-2530</t>
  </si>
  <si>
    <t>jstojsih@agatesoftware.com</t>
  </si>
  <si>
    <t>Yacobucci</t>
  </si>
  <si>
    <t>GSTV</t>
  </si>
  <si>
    <t>Regional Account Executive</t>
  </si>
  <si>
    <t>44 Warner Road</t>
  </si>
  <si>
    <t>Grosse Pointe Farms</t>
  </si>
  <si>
    <t>248-581-2993</t>
  </si>
  <si>
    <t>Nick.Yacobucci@gstv.com</t>
  </si>
  <si>
    <t>Jarel</t>
  </si>
  <si>
    <t>Kelsey</t>
  </si>
  <si>
    <t>Presiden &amp; CEO</t>
  </si>
  <si>
    <t>jrKelsey@pasintl.com</t>
  </si>
  <si>
    <t>Bonnie</t>
  </si>
  <si>
    <t>Berry</t>
  </si>
  <si>
    <t>SVP Operations</t>
  </si>
  <si>
    <t>916-509-8014</t>
  </si>
  <si>
    <t>Kristen</t>
  </si>
  <si>
    <t>Kreibich</t>
  </si>
  <si>
    <t>FCA US LLC</t>
  </si>
  <si>
    <t>Safety Advocate, Vehicle Safety &amp; Regulatory Compliance</t>
  </si>
  <si>
    <t>MIMS 48200-91</t>
  </si>
  <si>
    <t>800 Chrysler Drive</t>
  </si>
  <si>
    <t>Aburn Hills</t>
  </si>
  <si>
    <t>248-576-8053</t>
  </si>
  <si>
    <t>kristen.kreibich@fcagroup.com</t>
  </si>
  <si>
    <t>Nolan</t>
  </si>
  <si>
    <t>Katerberg</t>
  </si>
  <si>
    <t>Suite 214-E1</t>
  </si>
  <si>
    <t>313-845-8740</t>
  </si>
  <si>
    <t>nkaterbe@ford.com</t>
  </si>
  <si>
    <t>Green</t>
  </si>
  <si>
    <t>Suite 210-E6</t>
  </si>
  <si>
    <t>313-845-7680</t>
  </si>
  <si>
    <t>kgreen35@ford.com</t>
  </si>
  <si>
    <t>Michelle</t>
  </si>
  <si>
    <t>Director of Operations</t>
  </si>
  <si>
    <t>18 East 50th Street</t>
  </si>
  <si>
    <t>10th Floor</t>
  </si>
  <si>
    <t>212-837-4854</t>
  </si>
  <si>
    <t>info@nrsf.org</t>
  </si>
  <si>
    <t>Taub</t>
  </si>
  <si>
    <t>Assistant General Counsel</t>
  </si>
  <si>
    <t>602-263-6776</t>
  </si>
  <si>
    <t>steve_taub@uhaul.com</t>
  </si>
  <si>
    <t>Turner</t>
  </si>
  <si>
    <t>Director, Georgia Drivers Education</t>
  </si>
  <si>
    <t>jturner@gohs.ga.gov</t>
  </si>
  <si>
    <t>Zavorski</t>
  </si>
  <si>
    <t>NMS Labs</t>
  </si>
  <si>
    <t>Marketing Coordinator</t>
  </si>
  <si>
    <t>3701 Welsh Road</t>
  </si>
  <si>
    <t>Willow Grove</t>
  </si>
  <si>
    <t>215-657-4900</t>
  </si>
  <si>
    <t>angela.zavorski@nmslabs.com</t>
  </si>
  <si>
    <t>Peter</t>
  </si>
  <si>
    <t>Klaus</t>
  </si>
  <si>
    <t>WatchGuard Video</t>
  </si>
  <si>
    <t>Regional Sales Manager</t>
  </si>
  <si>
    <t>415 Century Parkway</t>
  </si>
  <si>
    <t>800-605-6734</t>
  </si>
  <si>
    <t>pklaus@watchguardvideo.com</t>
  </si>
  <si>
    <t>Cliff</t>
  </si>
  <si>
    <t>Jacobs</t>
  </si>
  <si>
    <t>703-296-7915</t>
  </si>
  <si>
    <t>cjacobs@dwicourts.org</t>
  </si>
  <si>
    <t>Madeleine</t>
  </si>
  <si>
    <t>Spjut</t>
  </si>
  <si>
    <t>Associate, Government Relations &amp; Traffic Safety Office</t>
  </si>
  <si>
    <t>202-355-1941</t>
  </si>
  <si>
    <t>madeleine.spjut@responsibility.org</t>
  </si>
  <si>
    <t>Blanchard</t>
  </si>
  <si>
    <t>Law Enforcement Assistant</t>
  </si>
  <si>
    <t>Sr. Director Brand Communications</t>
  </si>
  <si>
    <t>630-775-2279</t>
  </si>
  <si>
    <t>lcfitz@nsc.org</t>
  </si>
  <si>
    <t>Tricia</t>
  </si>
  <si>
    <t>PowerFlare Safety Beacons</t>
  </si>
  <si>
    <t>Vice President, Sales</t>
  </si>
  <si>
    <t>265 Turkey Sag Trail</t>
  </si>
  <si>
    <t>Suite 102, #152</t>
  </si>
  <si>
    <t>Palmyra</t>
  </si>
  <si>
    <t>434-326-1112</t>
  </si>
  <si>
    <t>tricia@pfdistributioncenter.com</t>
  </si>
  <si>
    <t>Delfino</t>
  </si>
  <si>
    <t>Alere Toxicology</t>
  </si>
  <si>
    <t>Key Account Manager</t>
  </si>
  <si>
    <t>12 Ryan Dr.</t>
  </si>
  <si>
    <t>Ellington</t>
  </si>
  <si>
    <t>860-872-4967</t>
  </si>
  <si>
    <t>fred.delfino@alere.com</t>
  </si>
  <si>
    <t>MPH Industries Inc.</t>
  </si>
  <si>
    <t>District Sales Manager</t>
  </si>
  <si>
    <t>316 E 9th Street</t>
  </si>
  <si>
    <t>270-313-6980</t>
  </si>
  <si>
    <t>klconrad@mphindustries.com</t>
  </si>
  <si>
    <t>Painter</t>
  </si>
  <si>
    <t>Traffic Logix</t>
  </si>
  <si>
    <t>Sales Manager</t>
  </si>
  <si>
    <t>3 Harriet Lane</t>
  </si>
  <si>
    <t>Spring Valley</t>
  </si>
  <si>
    <t>jpainter@trafficlogix.com</t>
  </si>
  <si>
    <t>Rick</t>
  </si>
  <si>
    <t>Birt</t>
  </si>
  <si>
    <t>Acting Chief Executive Officer (CEO)</t>
  </si>
  <si>
    <t>rbirt@sadd.org</t>
  </si>
  <si>
    <t>Al</t>
  </si>
  <si>
    <t>Roop</t>
  </si>
  <si>
    <t>904-620-4784</t>
  </si>
  <si>
    <t>kroop@unf.edu</t>
  </si>
  <si>
    <t>Katheryn</t>
  </si>
  <si>
    <t>Yetter</t>
  </si>
  <si>
    <t>National Judicial College</t>
  </si>
  <si>
    <t>Academic Director</t>
  </si>
  <si>
    <t>Judicial College Building</t>
  </si>
  <si>
    <t>MS 358</t>
  </si>
  <si>
    <t>775-327-8213</t>
  </si>
  <si>
    <t>yetter@judges.org</t>
  </si>
  <si>
    <t>Marketing Manager</t>
  </si>
  <si>
    <t>Colin</t>
  </si>
  <si>
    <t>Holthaus</t>
  </si>
  <si>
    <t>National Association of Trailer MFR</t>
  </si>
  <si>
    <t>Technical Director</t>
  </si>
  <si>
    <t>2420 SW 17th St.</t>
  </si>
  <si>
    <t>785-272-4433</t>
  </si>
  <si>
    <t>Colin.Holthaus@natm.com</t>
  </si>
  <si>
    <t>Cohen</t>
  </si>
  <si>
    <t>Omiga, Inc.</t>
  </si>
  <si>
    <t>130 Wetherbrooke Ln</t>
  </si>
  <si>
    <t>Smyrna</t>
  </si>
  <si>
    <t>770-605-3859</t>
  </si>
  <si>
    <t>kecohen@omigainc.com</t>
  </si>
  <si>
    <t>Sauber-Schatz</t>
  </si>
  <si>
    <t>CDC</t>
  </si>
  <si>
    <t>Transportation Team Lead</t>
  </si>
  <si>
    <t>4770 Buford HWY NE</t>
  </si>
  <si>
    <t>MS F-62</t>
  </si>
  <si>
    <t>770-488-0566</t>
  </si>
  <si>
    <t>ige7@cdc.gov</t>
  </si>
  <si>
    <t>Think Fast Interactive</t>
  </si>
  <si>
    <t>President/Owner</t>
  </si>
  <si>
    <t>2836 Belleglade Ct. SE</t>
  </si>
  <si>
    <t>Grand Rapids</t>
  </si>
  <si>
    <t>877-295-5559</t>
  </si>
  <si>
    <t>Tim@TjohnE.com</t>
  </si>
  <si>
    <t>Beckett</t>
  </si>
  <si>
    <t>Gue</t>
  </si>
  <si>
    <t>Vice President</t>
  </si>
  <si>
    <t>740-424-3975</t>
  </si>
  <si>
    <t>bgue@huddleinc.com</t>
  </si>
  <si>
    <t>Sher</t>
  </si>
  <si>
    <t>Paz</t>
  </si>
  <si>
    <t>National Sales Manager</t>
  </si>
  <si>
    <t>CMI Inc.</t>
  </si>
  <si>
    <t>316 E. 9th St.</t>
  </si>
  <si>
    <t>Jaisen</t>
  </si>
  <si>
    <t>jjtjohne@aol.com</t>
  </si>
  <si>
    <t>Gorcowski</t>
  </si>
  <si>
    <t>Assoc. Administrator, Communications &amp; Consumer Information</t>
  </si>
  <si>
    <t>Room W52-215</t>
  </si>
  <si>
    <t>202-366-6978</t>
  </si>
  <si>
    <t>susan.gorcowski@dot.gov</t>
  </si>
  <si>
    <t>McMeen</t>
  </si>
  <si>
    <t>Director, Office of Consumer Information</t>
  </si>
  <si>
    <t>Room W52-306</t>
  </si>
  <si>
    <t>202-366-4165</t>
  </si>
  <si>
    <t>susan.mcmeen@dot.gov</t>
  </si>
  <si>
    <t>Marketing Specialist</t>
  </si>
  <si>
    <t>Van</t>
  </si>
  <si>
    <t>Flanigan</t>
  </si>
  <si>
    <t>Virtual Driver Interactive Inc.</t>
  </si>
  <si>
    <t>VP/GM Sales</t>
  </si>
  <si>
    <t>4505 Golden Foothill Parkway</t>
  </si>
  <si>
    <t>El Dorado Hills</t>
  </si>
  <si>
    <t>404-277-3208</t>
  </si>
  <si>
    <t>vflanigan@driverinteractive.com</t>
  </si>
  <si>
    <t>Kidd</t>
  </si>
  <si>
    <t>Director, Finance and Operations</t>
  </si>
  <si>
    <t>ckidd@actsautosafety.org</t>
  </si>
  <si>
    <t>Montagne</t>
  </si>
  <si>
    <t>kmontagne@fcclainc.org</t>
  </si>
  <si>
    <t>Duckett</t>
  </si>
  <si>
    <t>Ocular Data Systems</t>
  </si>
  <si>
    <t>VIce President, DAX Sales</t>
  </si>
  <si>
    <t>1664 Amante Court</t>
  </si>
  <si>
    <t>Carlsbad</t>
  </si>
  <si>
    <t>213-810-5008</t>
  </si>
  <si>
    <t>tduckett@oculardatasystems.com</t>
  </si>
  <si>
    <t>Intoxalock by Consumer Safety Technology</t>
  </si>
  <si>
    <t>11035 Aurora Ave</t>
  </si>
  <si>
    <t>515-331-7643</t>
  </si>
  <si>
    <t>Yates</t>
  </si>
  <si>
    <t>Accident Support Services International Ltd.</t>
  </si>
  <si>
    <t>Vice President, Insurance Programs</t>
  </si>
  <si>
    <t>111 Toryork Rd.</t>
  </si>
  <si>
    <t>Toronto</t>
  </si>
  <si>
    <t>877-895-9111</t>
  </si>
  <si>
    <t>admin@accsupport.com</t>
  </si>
  <si>
    <t>P.O. Box 523172</t>
  </si>
  <si>
    <t>703-786-0980</t>
  </si>
  <si>
    <t>david@stormkingstrategies.com</t>
  </si>
  <si>
    <t>Sanders</t>
  </si>
  <si>
    <t>Shepherd Center</t>
  </si>
  <si>
    <t>Director of Public Relations &amp; Digital Marketing</t>
  </si>
  <si>
    <t>2020 Peachtree Road</t>
  </si>
  <si>
    <t>404-350-7707</t>
  </si>
  <si>
    <t>jane_sanders@shepherd.org</t>
  </si>
  <si>
    <t>Kusmec</t>
  </si>
  <si>
    <t>Innocorp Ltd. - Makers of Fatal Vision</t>
  </si>
  <si>
    <t>Chief Operating Officer</t>
  </si>
  <si>
    <t>P.O. Box 930064</t>
  </si>
  <si>
    <t>Verona</t>
  </si>
  <si>
    <t>608-845-5558</t>
  </si>
  <si>
    <t>deb.kusmec@fatalvision.com</t>
  </si>
  <si>
    <t>Fairchild</t>
  </si>
  <si>
    <t>214-316-0379</t>
  </si>
  <si>
    <t>christopher.fairchild@draeger.com</t>
  </si>
  <si>
    <t>Crowder</t>
  </si>
  <si>
    <t>Helminski</t>
  </si>
  <si>
    <t>GRACO Children's Products Inc. - A Newell Rubbermaid Company</t>
  </si>
  <si>
    <t>14547 Lieto Lane</t>
  </si>
  <si>
    <t>Bonita Springs</t>
  </si>
  <si>
    <t>727-542-5338</t>
  </si>
  <si>
    <t>carol.helminski@gracobaby.com</t>
  </si>
  <si>
    <t>Patsy</t>
  </si>
  <si>
    <t>Pilcher</t>
  </si>
  <si>
    <t>Evenflo Company Inc.</t>
  </si>
  <si>
    <t>Account Representative</t>
  </si>
  <si>
    <t>P.O. Box 1046</t>
  </si>
  <si>
    <t>Cullman</t>
  </si>
  <si>
    <t>800-768-6077</t>
  </si>
  <si>
    <t>evenflosales@worldsafe.net</t>
  </si>
  <si>
    <t>Cook</t>
  </si>
  <si>
    <t>Debbie</t>
  </si>
  <si>
    <t>Aull</t>
  </si>
  <si>
    <t>debbie@stalkerradar.com</t>
  </si>
  <si>
    <t>U-Haul International</t>
  </si>
  <si>
    <t>Casanova Powell</t>
  </si>
  <si>
    <t>Casanova Powell Consulting</t>
  </si>
  <si>
    <t>Joe</t>
  </si>
  <si>
    <t>Vice President, Government Relations</t>
  </si>
  <si>
    <t>2727 N. Central Avenue</t>
  </si>
  <si>
    <t>85004</t>
  </si>
  <si>
    <t>joe_cook@uhaul.com</t>
  </si>
  <si>
    <t>602-760-4932</t>
  </si>
  <si>
    <t>Bagwell</t>
  </si>
  <si>
    <t>Michelin North America</t>
  </si>
  <si>
    <t>Public Relations Manager</t>
  </si>
  <si>
    <t>864-458-5897</t>
  </si>
  <si>
    <t>megan.bagwell@michelin.com</t>
  </si>
  <si>
    <t>866-915-6449</t>
  </si>
  <si>
    <t>Bob</t>
  </si>
  <si>
    <t>Stokes</t>
  </si>
  <si>
    <t>Kentucky Office of the Attorney General</t>
  </si>
  <si>
    <t>1024 Capitol Center Drive</t>
  </si>
  <si>
    <t>502-696-5500</t>
  </si>
  <si>
    <t>bstokes@prosecutors.ky.gov</t>
  </si>
  <si>
    <t>Trooper 3</t>
  </si>
  <si>
    <t>Iowa Department of Public Safety, State Patrol</t>
  </si>
  <si>
    <t>Evan</t>
  </si>
  <si>
    <t>Sether</t>
  </si>
  <si>
    <t>Oregon State Police</t>
  </si>
  <si>
    <t>3565 Trelstad Avenue SE</t>
  </si>
  <si>
    <t>503-934-0263</t>
  </si>
  <si>
    <t>evan.sether@state.or.us</t>
  </si>
  <si>
    <t xml:space="preserve">Major </t>
  </si>
  <si>
    <t>Ellis</t>
  </si>
  <si>
    <t>tellis@frankfort.ky.gov</t>
  </si>
  <si>
    <t>Pittaluga</t>
  </si>
  <si>
    <t>Kenton County Police Department</t>
  </si>
  <si>
    <t>11777 Madison Pike</t>
  </si>
  <si>
    <t>Independence</t>
  </si>
  <si>
    <t>859-392-1964</t>
  </si>
  <si>
    <t>chris.pittaluga@kentoncounty.org</t>
  </si>
  <si>
    <t>Nicholas</t>
  </si>
  <si>
    <t>Worrell</t>
  </si>
  <si>
    <t>Chief, Office of Safety Advocacy</t>
  </si>
  <si>
    <t>202-314-6608</t>
  </si>
  <si>
    <t>nicholas.worrell@ntsb.gov</t>
  </si>
  <si>
    <t>Roger</t>
  </si>
  <si>
    <t>Director, Law Enforcement Services</t>
  </si>
  <si>
    <t>404-971-0379</t>
  </si>
  <si>
    <t>rhayes@gohs.ga.gov</t>
  </si>
  <si>
    <t>Corey</t>
  </si>
  <si>
    <t>Kenney</t>
  </si>
  <si>
    <t>785- 296-3750</t>
  </si>
  <si>
    <t>corey.kenney@ag.ks.gov</t>
  </si>
  <si>
    <t>Guidi</t>
  </si>
  <si>
    <t>617-784-6027</t>
  </si>
  <si>
    <t>jason.guidi@volvocars.com</t>
  </si>
  <si>
    <t>Bernardo</t>
  </si>
  <si>
    <t>Cambridge Systematics</t>
  </si>
  <si>
    <t>Montana Department of Transportation</t>
  </si>
  <si>
    <t>Grants Bureau Chief</t>
  </si>
  <si>
    <t>beth.baker@dot.gov</t>
  </si>
  <si>
    <t>Colorado State Patrol</t>
  </si>
  <si>
    <t xml:space="preserve">P.O. Box 400 </t>
  </si>
  <si>
    <t>Director of Government Relations</t>
  </si>
  <si>
    <t>Program Development Manager, Driver Safety Division</t>
  </si>
  <si>
    <t>lawrence.robertson@bia.gov</t>
  </si>
  <si>
    <t>Guilford County Sheriff's Office</t>
  </si>
  <si>
    <t xml:space="preserve">4600 W. Genesee Street </t>
  </si>
  <si>
    <t>rod.chu@dot.gov</t>
  </si>
  <si>
    <t>Malcom</t>
  </si>
  <si>
    <t>Uber</t>
  </si>
  <si>
    <t>Manager of Strategic Partnerships</t>
  </si>
  <si>
    <t>1717 Rhode Island Avenue, NW</t>
  </si>
  <si>
    <t>202-713-9049</t>
  </si>
  <si>
    <t>mglenn@uber.com</t>
  </si>
  <si>
    <t>Chelsie.Hubicsak-Muldowney@hitchcock.org</t>
  </si>
  <si>
    <t>Leonard</t>
  </si>
  <si>
    <t>Toyota Research Institute</t>
  </si>
  <si>
    <t>23 Elinor Road</t>
  </si>
  <si>
    <t>Newton Highlands</t>
  </si>
  <si>
    <t>617-285-4939</t>
  </si>
  <si>
    <t>john.leonard@tri.global</t>
  </si>
  <si>
    <t>Director, Homeland Security &amp; Public Safety Division</t>
  </si>
  <si>
    <t>contact.sheriff@snoco.org</t>
  </si>
  <si>
    <t>Meaney</t>
  </si>
  <si>
    <t>Medfield Police Department</t>
  </si>
  <si>
    <t>Police Chief</t>
  </si>
  <si>
    <t>6500 South Macarthur Blvd.</t>
  </si>
  <si>
    <t>112 North Street</t>
  </si>
  <si>
    <t>Medfield</t>
  </si>
  <si>
    <t>508-359-1122</t>
  </si>
  <si>
    <t>medchief@medfield.net</t>
  </si>
  <si>
    <t>American Traffic Solutions, Inc.</t>
  </si>
  <si>
    <t>1150 N. Alma School Road</t>
  </si>
  <si>
    <t>Mesa</t>
  </si>
  <si>
    <t xml:space="preserve"> erjohnson2@ncdot.gov</t>
  </si>
  <si>
    <t>919-707-2600</t>
  </si>
  <si>
    <t>Boston Transportation Department</t>
  </si>
  <si>
    <t>Senior Traffic Engineer</t>
  </si>
  <si>
    <t>617-635-2966</t>
  </si>
  <si>
    <t>angela.kristiansen@boston.gov</t>
  </si>
  <si>
    <t>1 City Hall Square</t>
  </si>
  <si>
    <t>Portland Police Bureau</t>
  </si>
  <si>
    <t>Portland</t>
  </si>
  <si>
    <t>erin.smith@portlandoregon.gov</t>
  </si>
  <si>
    <t>Childers</t>
  </si>
  <si>
    <t>Impaired Driving Policy Specialist</t>
  </si>
  <si>
    <t>7991 Independence Boulevard</t>
  </si>
  <si>
    <t>catherinechilders@yahoo.com</t>
  </si>
  <si>
    <t>StopDistractions.org</t>
  </si>
  <si>
    <t xml:space="preserve">P.O. Box 6743 </t>
  </si>
  <si>
    <t>River Forest</t>
  </si>
  <si>
    <t>708-334-3058</t>
  </si>
  <si>
    <t>jsmith@stopdistractions.org</t>
  </si>
  <si>
    <t>Patty</t>
  </si>
  <si>
    <t>Dunaway</t>
  </si>
  <si>
    <t>Ketucky Transportation Committee</t>
  </si>
  <si>
    <t>State Highway Engineer</t>
  </si>
  <si>
    <t>502-782-4961</t>
  </si>
  <si>
    <t>patty.dunaway@ky.gov</t>
  </si>
  <si>
    <t>frank.harrison@conduent.com</t>
  </si>
  <si>
    <t>443-415-8582</t>
  </si>
  <si>
    <t>allen.shutt@conduent.com</t>
  </si>
  <si>
    <t>Margaret</t>
  </si>
  <si>
    <t>Office Manager</t>
  </si>
  <si>
    <t>mmaxwell@ghsa.org</t>
  </si>
  <si>
    <t>Owens</t>
  </si>
  <si>
    <t>6075 Rudd Road</t>
  </si>
  <si>
    <t>315-725-8607</t>
  </si>
  <si>
    <t>jgowens@oneidacountysheriff.us</t>
  </si>
  <si>
    <t>Settles</t>
  </si>
  <si>
    <t>Manager, Marketing &amp; Sales</t>
  </si>
  <si>
    <t>270-685-6362</t>
  </si>
  <si>
    <t>wtsettles@alcoholtest.com</t>
  </si>
  <si>
    <t>Vice President, Public Safety Solutions</t>
  </si>
  <si>
    <t>Montgomery Park</t>
  </si>
  <si>
    <t>1800 Washington Blvd.</t>
  </si>
  <si>
    <t>Vice President, Sales North America</t>
  </si>
  <si>
    <t>12410 Milestone Center Drive</t>
  </si>
  <si>
    <t>5th Floor</t>
  </si>
  <si>
    <t>Germantown</t>
  </si>
  <si>
    <t>202-438-0664</t>
  </si>
  <si>
    <t>7214 N. Philadelphia</t>
  </si>
  <si>
    <t>503-823-2221</t>
  </si>
  <si>
    <t>Shane</t>
  </si>
  <si>
    <t>Nordyke</t>
  </si>
  <si>
    <t>Director, Government Research Bureau</t>
  </si>
  <si>
    <t>University of South Dakota</t>
  </si>
  <si>
    <t>414 E. Clark Street</t>
  </si>
  <si>
    <t>812-219-6669</t>
  </si>
  <si>
    <t>shane.nordyke@usd.edu</t>
  </si>
  <si>
    <t>Gibson</t>
  </si>
  <si>
    <t>Corporate Communications Manager</t>
  </si>
  <si>
    <t>480-596-4554</t>
  </si>
  <si>
    <t>kate.gibson@atsol.com</t>
  </si>
  <si>
    <t>Shashunga</t>
  </si>
  <si>
    <t>Clayton</t>
  </si>
  <si>
    <t>shashunga.clayton@dot.gov</t>
  </si>
  <si>
    <t>202-657-2847</t>
  </si>
  <si>
    <t>Holtgrave</t>
  </si>
  <si>
    <t>Director, Business Development</t>
  </si>
  <si>
    <t>502-608-2624</t>
  </si>
  <si>
    <t>robert.holtgrave@lexisnexisrisk.com</t>
  </si>
  <si>
    <t>sjacobson@clearwatercommunications.net</t>
  </si>
  <si>
    <t>bshepherd@alcolockusa.com</t>
  </si>
  <si>
    <t>Jay</t>
  </si>
  <si>
    <t>Ofsanik</t>
  </si>
  <si>
    <t>Pennsylvania Department of Transportation</t>
  </si>
  <si>
    <t>CRC1-Safety Press Officer</t>
  </si>
  <si>
    <t>825 N. Gallatin Avenue Ext.</t>
  </si>
  <si>
    <t>Uniontown</t>
  </si>
  <si>
    <t>724-439-7135</t>
  </si>
  <si>
    <t>jofsanik@pa.gov</t>
  </si>
  <si>
    <t>Goodman</t>
  </si>
  <si>
    <t>Kentucky Division Administrator</t>
  </si>
  <si>
    <t>Room 124</t>
  </si>
  <si>
    <t>502-330-6974</t>
  </si>
  <si>
    <t>Rachelle</t>
  </si>
  <si>
    <t>Hetterson</t>
  </si>
  <si>
    <t>Safety Investigator</t>
  </si>
  <si>
    <t>502-223-6779</t>
  </si>
  <si>
    <t>rachelle.hetterson@dot.gov</t>
  </si>
  <si>
    <t>tradeshow@acs-corp.com</t>
  </si>
  <si>
    <t>chris.bradford@raleighnc.gov</t>
  </si>
  <si>
    <t>lawrencer.fisher@ky.gov</t>
  </si>
  <si>
    <t>robert.thornton@state.nm.us</t>
  </si>
  <si>
    <t>ewalston@vidanthealth.com</t>
  </si>
  <si>
    <t>Glenn.wheatley@bardstownpolice.com</t>
  </si>
  <si>
    <t>Mindy</t>
  </si>
  <si>
    <t>Huddleston</t>
  </si>
  <si>
    <t>j</t>
  </si>
  <si>
    <t>Director, Industry Relations</t>
  </si>
  <si>
    <t>Terri</t>
  </si>
  <si>
    <t>Fornefeld</t>
  </si>
  <si>
    <t>Grant Project &amp; IT Coordinator</t>
  </si>
  <si>
    <t>tfornefeld@azgohs.gov</t>
  </si>
  <si>
    <t>Juanita</t>
  </si>
  <si>
    <t>Faux</t>
  </si>
  <si>
    <t>Compliance Coordinator</t>
  </si>
  <si>
    <t>jfaux@intoxalock.com</t>
  </si>
  <si>
    <t>Gabany</t>
  </si>
  <si>
    <t>Safety Programs Implementation Manager</t>
  </si>
  <si>
    <t>adam.gabany@illinois.gov</t>
  </si>
  <si>
    <t>Dorsey</t>
  </si>
  <si>
    <t>3121 Montserrat Creek Drive</t>
  </si>
  <si>
    <t>Little Elm</t>
  </si>
  <si>
    <t>214-985-6437</t>
  </si>
  <si>
    <t>daviddorsey_06@yahoo.com</t>
  </si>
  <si>
    <t>Schuessler</t>
  </si>
  <si>
    <t xml:space="preserve">LexisNexis   </t>
  </si>
  <si>
    <t>Business Program Manager</t>
  </si>
  <si>
    <t>4 David Road West,</t>
  </si>
  <si>
    <t>Suite 6</t>
  </si>
  <si>
    <t>Old Lyme</t>
  </si>
  <si>
    <t>06371</t>
  </si>
  <si>
    <t>860-577-0080</t>
  </si>
  <si>
    <t>daniel.schuessler@lexisnexisrisk.com</t>
  </si>
  <si>
    <t>703-786-6390</t>
  </si>
  <si>
    <t>mhuddleston@SCRAMsystems.com</t>
  </si>
  <si>
    <t>Rockingham Police Department</t>
  </si>
  <si>
    <t>311 East Franklin Street</t>
  </si>
  <si>
    <t>Rockingham</t>
  </si>
  <si>
    <t>910-895-2468</t>
  </si>
  <si>
    <t>chief@gprockinghampd.com</t>
  </si>
  <si>
    <t>Alderman</t>
  </si>
  <si>
    <t>Impaired Driving Program Coordinator</t>
  </si>
  <si>
    <t>2100 S. Dirksen Parkway</t>
  </si>
  <si>
    <t>217-557-6670</t>
  </si>
  <si>
    <t>shannon.alderman@illinois.gov</t>
  </si>
  <si>
    <t>Jessi</t>
  </si>
  <si>
    <t>Hopkins</t>
  </si>
  <si>
    <t>Occupant Protection Coordinator</t>
  </si>
  <si>
    <t>411 W. Yates Avenue</t>
  </si>
  <si>
    <t>563-343-6041</t>
  </si>
  <si>
    <t>jessica.hopkins@illinois.gov</t>
  </si>
  <si>
    <t>Mueller</t>
  </si>
  <si>
    <t>Chief of Programs</t>
  </si>
  <si>
    <t>405-523-1574</t>
  </si>
  <si>
    <t>katie.mueller@dps.ok.gov</t>
  </si>
  <si>
    <t>Marion Police Department</t>
  </si>
  <si>
    <t>270 South Main Street</t>
  </si>
  <si>
    <t>Marion</t>
  </si>
  <si>
    <t>828-803-1084</t>
  </si>
  <si>
    <t>a;awremce@marionpd.org</t>
  </si>
  <si>
    <t>Hughes</t>
  </si>
  <si>
    <t>National Park Service</t>
  </si>
  <si>
    <t>Traffic Safety Coalition</t>
  </si>
  <si>
    <t>1849 C Street, NW</t>
  </si>
  <si>
    <t>985-246-4391</t>
  </si>
  <si>
    <t>john_hughes@nps.gov</t>
  </si>
  <si>
    <t>Casey</t>
  </si>
  <si>
    <t>Hyde</t>
  </si>
  <si>
    <t>Cadiz Police Department</t>
  </si>
  <si>
    <t>Police Clerk</t>
  </si>
  <si>
    <t>11 Marion Street</t>
  </si>
  <si>
    <t>Cadiz</t>
  </si>
  <si>
    <t>270-522-8369</t>
  </si>
  <si>
    <t>chyde@cityofcadiz.com</t>
  </si>
  <si>
    <t>Elliott</t>
  </si>
  <si>
    <t>1104 Van Buren Ave</t>
  </si>
  <si>
    <t>Oxford</t>
  </si>
  <si>
    <t>662-236-9288</t>
  </si>
  <si>
    <t>kelliott@preussergroup.com</t>
  </si>
  <si>
    <t>Solomon</t>
  </si>
  <si>
    <t>mark@preussergroup.com</t>
  </si>
  <si>
    <t>Eddyville Police Department</t>
  </si>
  <si>
    <t>419 Dogwood Street</t>
  </si>
  <si>
    <t>Eddyville</t>
  </si>
  <si>
    <t>270-625-0783</t>
  </si>
  <si>
    <t>103@eddyvilleky.com</t>
  </si>
  <si>
    <t>Abernathy</t>
  </si>
  <si>
    <t>TEAM Coalition</t>
  </si>
  <si>
    <t>Event Manager</t>
  </si>
  <si>
    <t>1800 Diagonal Road</t>
  </si>
  <si>
    <t>314-630-4836</t>
  </si>
  <si>
    <t>kevin@teamcoalition.org</t>
  </si>
  <si>
    <t>Franco</t>
  </si>
  <si>
    <t>New Jersey Police Traffic Officer's Association</t>
  </si>
  <si>
    <t>0-17 Fair Lawn Parkway</t>
  </si>
  <si>
    <t>Fair Lawn</t>
  </si>
  <si>
    <t>551-206-5208</t>
  </si>
  <si>
    <t>timfranco5@optimum.net</t>
  </si>
  <si>
    <t>Wendy</t>
  </si>
  <si>
    <t>Berk</t>
  </si>
  <si>
    <t>825 Georges Road</t>
  </si>
  <si>
    <t>North Brunswick</t>
  </si>
  <si>
    <t>08902</t>
  </si>
  <si>
    <t>732-745-0200</t>
  </si>
  <si>
    <t>Brain Injury Alliance of New Jersey</t>
  </si>
  <si>
    <t>#2</t>
  </si>
  <si>
    <t>wberk@bianj.org</t>
  </si>
  <si>
    <t>Fuoss</t>
  </si>
  <si>
    <t>Illinois State Police</t>
  </si>
  <si>
    <t xml:space="preserve">Master Sergeant </t>
  </si>
  <si>
    <t>801 South 7th Street</t>
  </si>
  <si>
    <t>Suite 100-M</t>
  </si>
  <si>
    <t>217-202-5643</t>
  </si>
  <si>
    <t>ryan_fuoss@isp.state.il.us</t>
  </si>
  <si>
    <t>Fralick</t>
  </si>
  <si>
    <t>11031 Aurora Avenue</t>
  </si>
  <si>
    <t>Urbandale</t>
  </si>
  <si>
    <t>515-897-8942</t>
  </si>
  <si>
    <t>bralick@intoxalock.com</t>
  </si>
  <si>
    <t>Marier</t>
  </si>
  <si>
    <t>Michigan State Police</t>
  </si>
  <si>
    <t>Inspector</t>
  </si>
  <si>
    <t>517-202-5477</t>
  </si>
  <si>
    <t>mariers@michigan.gov</t>
  </si>
  <si>
    <t>Parrish</t>
  </si>
  <si>
    <t>Mississippi State University</t>
  </si>
  <si>
    <t>Sr. Research Associate</t>
  </si>
  <si>
    <t>1 Research Boulevard</t>
  </si>
  <si>
    <t>Suite 103</t>
  </si>
  <si>
    <t>Starkville</t>
  </si>
  <si>
    <t>662-325-8116</t>
  </si>
  <si>
    <t>david.parrish@ssrc.msstate.edu</t>
  </si>
  <si>
    <t>Rhodes</t>
  </si>
  <si>
    <t>Naval Safety Center</t>
  </si>
  <si>
    <t>Deputy Director, Shore Programs</t>
  </si>
  <si>
    <t>375 A Street</t>
  </si>
  <si>
    <t>Norfolk</t>
  </si>
  <si>
    <t>757-444-3520 x 7166</t>
  </si>
  <si>
    <t>james.rhoades@navy.mil</t>
  </si>
  <si>
    <t>Nate</t>
  </si>
  <si>
    <t>American Traffic Safety Services Association</t>
  </si>
  <si>
    <t>Vice President Government Solutions</t>
  </si>
  <si>
    <t>15 Riverside Parkway</t>
  </si>
  <si>
    <t>202-733-1245</t>
  </si>
  <si>
    <t>nathan.smith@atssa.com</t>
  </si>
  <si>
    <t>540-231-0281</t>
  </si>
  <si>
    <t>rsmith@vtti.vt.edu</t>
  </si>
  <si>
    <t>Tindall</t>
  </si>
  <si>
    <t>Sales Engineer</t>
  </si>
  <si>
    <t>4073 Rose of Sharon Drive</t>
  </si>
  <si>
    <t>Orlando</t>
  </si>
  <si>
    <t>407-840-6508</t>
  </si>
  <si>
    <t>dtindall@watchguardvideo.com</t>
  </si>
  <si>
    <t>Marissa</t>
  </si>
  <si>
    <t>Turturici</t>
  </si>
  <si>
    <t>2379 Research Center Drive</t>
  </si>
  <si>
    <t>954-815-5420</t>
  </si>
  <si>
    <t>mturturici@vtti.vit.edu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</si>
</sst>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  <font>
      <sz val="10"/>
      <color rgb="FF000000"/>
      <name val="Tahoma"/>
      <family val="2"/>
    </font>
    <font>
      <sz val="11"/>
      <color rgb="FF091F2F"/>
      <name val="Calibri"/>
      <family val="2"/>
      <scheme val="minor"/>
    </font>
    <font>
      <u/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13" xfId="0" applyBorder="1"/>
    <xf numFmtId="0" fontId="16" fillId="33" borderId="12" xfId="0" applyFont="1" applyFill="1" applyBorder="1"/>
    <xf numFmtId="0" fontId="16" fillId="33" borderId="14" xfId="0" applyFont="1" applyFill="1" applyBorder="1"/>
    <xf numFmtId="0" fontId="16" fillId="33" borderId="10" xfId="0" applyFont="1" applyFill="1" applyBorder="1"/>
    <xf numFmtId="0" fontId="0" fillId="0" borderId="15" xfId="0" applyBorder="1"/>
    <xf numFmtId="0" fontId="0" fillId="0" borderId="16" xfId="0" applyBorder="1"/>
    <xf numFmtId="0" fontId="18" fillId="0" borderId="16" xfId="0" applyFont="1" applyBorder="1"/>
    <xf numFmtId="0" fontId="18" fillId="0" borderId="16" xfId="42" applyFont="1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4" xfId="0" applyBorder="1"/>
    <xf numFmtId="0" fontId="0" fillId="0" borderId="19" xfId="0" applyFont="1" applyBorder="1"/>
    <xf numFmtId="0" fontId="0" fillId="0" borderId="15" xfId="0" applyFont="1" applyBorder="1"/>
    <xf numFmtId="0" fontId="0" fillId="0" borderId="26" xfId="0" applyBorder="1"/>
    <xf numFmtId="0" fontId="16" fillId="34" borderId="17" xfId="0" applyFont="1" applyFill="1" applyBorder="1"/>
    <xf numFmtId="0" fontId="16" fillId="34" borderId="18" xfId="0" applyFont="1" applyFill="1" applyBorder="1"/>
    <xf numFmtId="0" fontId="0" fillId="0" borderId="16" xfId="0" applyBorder="1" applyAlignment="1">
      <alignment horizontal="left"/>
    </xf>
    <xf numFmtId="0" fontId="18" fillId="0" borderId="25" xfId="42" applyFont="1" applyBorder="1"/>
    <xf numFmtId="0" fontId="0" fillId="0" borderId="24" xfId="0" applyFont="1" applyBorder="1"/>
    <xf numFmtId="0" fontId="0" fillId="0" borderId="16" xfId="0" applyFont="1" applyBorder="1"/>
    <xf numFmtId="0" fontId="20" fillId="0" borderId="16" xfId="0" applyFont="1" applyBorder="1"/>
    <xf numFmtId="0" fontId="0" fillId="0" borderId="0" xfId="0" applyBorder="1"/>
    <xf numFmtId="0" fontId="18" fillId="0" borderId="20" xfId="42" applyFont="1" applyBorder="1"/>
    <xf numFmtId="49" fontId="0" fillId="0" borderId="16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22" fillId="0" borderId="16" xfId="0" applyFont="1" applyBorder="1" applyAlignment="1">
      <alignment vertical="center" wrapText="1"/>
    </xf>
    <xf numFmtId="0" fontId="0" fillId="0" borderId="16" xfId="0" applyFill="1" applyBorder="1"/>
    <xf numFmtId="0" fontId="21" fillId="0" borderId="16" xfId="0" applyFont="1" applyBorder="1"/>
    <xf numFmtId="0" fontId="0" fillId="0" borderId="27" xfId="0" applyBorder="1"/>
    <xf numFmtId="0" fontId="0" fillId="0" borderId="16" xfId="0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8" fillId="0" borderId="0" xfId="0" applyFont="1" applyBorder="1"/>
    <xf numFmtId="0" fontId="18" fillId="0" borderId="15" xfId="0" applyFont="1" applyBorder="1"/>
    <xf numFmtId="0" fontId="18" fillId="0" borderId="25" xfId="0" applyFont="1" applyBorder="1"/>
    <xf numFmtId="0" fontId="18" fillId="0" borderId="13" xfId="0" applyFont="1" applyBorder="1"/>
    <xf numFmtId="0" fontId="18" fillId="0" borderId="0" xfId="0" applyFont="1"/>
    <xf numFmtId="0" fontId="18" fillId="0" borderId="16" xfId="42" applyFont="1" applyFill="1" applyBorder="1"/>
    <xf numFmtId="0" fontId="18" fillId="0" borderId="23" xfId="0" applyFont="1" applyBorder="1"/>
    <xf numFmtId="0" fontId="18" fillId="0" borderId="20" xfId="0" applyFont="1" applyBorder="1"/>
    <xf numFmtId="0" fontId="19" fillId="0" borderId="20" xfId="42" applyBorder="1"/>
    <xf numFmtId="0" fontId="23" fillId="0" borderId="20" xfId="42" applyFont="1" applyBorder="1"/>
    <xf numFmtId="0" fontId="23" fillId="0" borderId="20" xfId="0" applyFont="1" applyBorder="1"/>
    <xf numFmtId="0" fontId="23" fillId="0" borderId="25" xfId="0" applyFont="1" applyBorder="1"/>
    <xf numFmtId="0" fontId="18" fillId="0" borderId="15" xfId="42" applyFont="1" applyBorder="1"/>
    <xf numFmtId="0" fontId="18" fillId="0" borderId="27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ohn.leonard@tri.global" TargetMode="External"/><Relationship Id="rId18" Type="http://schemas.openxmlformats.org/officeDocument/2006/relationships/hyperlink" Target="mailto:catherinechilders@yahoo.com" TargetMode="External"/><Relationship Id="rId26" Type="http://schemas.openxmlformats.org/officeDocument/2006/relationships/hyperlink" Target="mailto:kate.gibson@atsol.com" TargetMode="External"/><Relationship Id="rId39" Type="http://schemas.openxmlformats.org/officeDocument/2006/relationships/hyperlink" Target="mailto:daniel.schuessler@lexisnexisrisk.com" TargetMode="External"/><Relationship Id="rId21" Type="http://schemas.openxmlformats.org/officeDocument/2006/relationships/hyperlink" Target="mailto:frank.harrison@conduent.com" TargetMode="External"/><Relationship Id="rId34" Type="http://schemas.openxmlformats.org/officeDocument/2006/relationships/hyperlink" Target="mailto:robert.thornton@state.nm.us" TargetMode="External"/><Relationship Id="rId42" Type="http://schemas.openxmlformats.org/officeDocument/2006/relationships/hyperlink" Target="mailto:jessica.hopkins@illinois.gov" TargetMode="External"/><Relationship Id="rId47" Type="http://schemas.openxmlformats.org/officeDocument/2006/relationships/hyperlink" Target="mailto:mark@preussergroup.com" TargetMode="External"/><Relationship Id="rId50" Type="http://schemas.openxmlformats.org/officeDocument/2006/relationships/hyperlink" Target="mailto:timfranco5@optimum.net" TargetMode="External"/><Relationship Id="rId55" Type="http://schemas.openxmlformats.org/officeDocument/2006/relationships/hyperlink" Target="mailto:david.parrish@ssrc.msstate.edu" TargetMode="External"/><Relationship Id="rId7" Type="http://schemas.openxmlformats.org/officeDocument/2006/relationships/hyperlink" Target="mailto:lawrence.robertson@bia.gov" TargetMode="External"/><Relationship Id="rId2" Type="http://schemas.openxmlformats.org/officeDocument/2006/relationships/hyperlink" Target="mailto:chris.pittaluga@kentoncounty.org" TargetMode="External"/><Relationship Id="rId16" Type="http://schemas.openxmlformats.org/officeDocument/2006/relationships/hyperlink" Target="mailto:angela.kristiansen@boston.gov" TargetMode="External"/><Relationship Id="rId20" Type="http://schemas.openxmlformats.org/officeDocument/2006/relationships/hyperlink" Target="mailto:patty.dunaway@ky.gov" TargetMode="External"/><Relationship Id="rId29" Type="http://schemas.openxmlformats.org/officeDocument/2006/relationships/hyperlink" Target="mailto:bshepherd@alcolockusa.com" TargetMode="External"/><Relationship Id="rId41" Type="http://schemas.openxmlformats.org/officeDocument/2006/relationships/hyperlink" Target="mailto:shannon.alderman@illinois.gov" TargetMode="External"/><Relationship Id="rId54" Type="http://schemas.openxmlformats.org/officeDocument/2006/relationships/hyperlink" Target="mailto:mariers@michigan.gov" TargetMode="External"/><Relationship Id="rId1" Type="http://schemas.openxmlformats.org/officeDocument/2006/relationships/hyperlink" Target="mailto:tellis@frankfort.ky.gov" TargetMode="External"/><Relationship Id="rId6" Type="http://schemas.openxmlformats.org/officeDocument/2006/relationships/hyperlink" Target="mailto:beth.baker@dot.gov" TargetMode="External"/><Relationship Id="rId11" Type="http://schemas.openxmlformats.org/officeDocument/2006/relationships/hyperlink" Target="mailto:mglenn@uber.com" TargetMode="External"/><Relationship Id="rId24" Type="http://schemas.openxmlformats.org/officeDocument/2006/relationships/hyperlink" Target="mailto:jgowens@oneidacountysheriff.us" TargetMode="External"/><Relationship Id="rId32" Type="http://schemas.openxmlformats.org/officeDocument/2006/relationships/hyperlink" Target="mailto:chris.bradford@raleighnc.gov" TargetMode="External"/><Relationship Id="rId37" Type="http://schemas.openxmlformats.org/officeDocument/2006/relationships/hyperlink" Target="mailto:adam.gabany@illinois.gov" TargetMode="External"/><Relationship Id="rId40" Type="http://schemas.openxmlformats.org/officeDocument/2006/relationships/hyperlink" Target="mailto:chief@gprockinghampd.com" TargetMode="External"/><Relationship Id="rId45" Type="http://schemas.openxmlformats.org/officeDocument/2006/relationships/hyperlink" Target="mailto:chyde@cityofcadiz.com" TargetMode="External"/><Relationship Id="rId53" Type="http://schemas.openxmlformats.org/officeDocument/2006/relationships/hyperlink" Target="mailto:bralick@intoxalock.com" TargetMode="External"/><Relationship Id="rId58" Type="http://schemas.openxmlformats.org/officeDocument/2006/relationships/hyperlink" Target="mailto:rsmith@vtti.vt.edu" TargetMode="External"/><Relationship Id="rId5" Type="http://schemas.openxmlformats.org/officeDocument/2006/relationships/hyperlink" Target="mailto:corey.kenney@ag.ks.gov" TargetMode="External"/><Relationship Id="rId15" Type="http://schemas.openxmlformats.org/officeDocument/2006/relationships/hyperlink" Target="mailto:erjohnson2@ncdot.gov" TargetMode="External"/><Relationship Id="rId23" Type="http://schemas.openxmlformats.org/officeDocument/2006/relationships/hyperlink" Target="mailto:mmaxwell@ghsa.org" TargetMode="External"/><Relationship Id="rId28" Type="http://schemas.openxmlformats.org/officeDocument/2006/relationships/hyperlink" Target="mailto:sjacobson@clearwatercommunications.net" TargetMode="External"/><Relationship Id="rId36" Type="http://schemas.openxmlformats.org/officeDocument/2006/relationships/hyperlink" Target="mailto:Glenn.wheatley@bardstownpolice.com" TargetMode="External"/><Relationship Id="rId49" Type="http://schemas.openxmlformats.org/officeDocument/2006/relationships/hyperlink" Target="mailto:kevin@teamcoalition.org" TargetMode="External"/><Relationship Id="rId57" Type="http://schemas.openxmlformats.org/officeDocument/2006/relationships/hyperlink" Target="mailto:nathan.smith@atssa.com" TargetMode="External"/><Relationship Id="rId61" Type="http://schemas.openxmlformats.org/officeDocument/2006/relationships/printerSettings" Target="../printerSettings/printerSettings1.bin"/><Relationship Id="rId10" Type="http://schemas.openxmlformats.org/officeDocument/2006/relationships/hyperlink" Target="mailto:rod.chu@dot.gov" TargetMode="External"/><Relationship Id="rId19" Type="http://schemas.openxmlformats.org/officeDocument/2006/relationships/hyperlink" Target="mailto:jsmith@stopdistractions.org" TargetMode="External"/><Relationship Id="rId31" Type="http://schemas.openxmlformats.org/officeDocument/2006/relationships/hyperlink" Target="mailto:rachelle.hetterson@dot.gov" TargetMode="External"/><Relationship Id="rId44" Type="http://schemas.openxmlformats.org/officeDocument/2006/relationships/hyperlink" Target="mailto:john_hughes@nps.gov" TargetMode="External"/><Relationship Id="rId52" Type="http://schemas.openxmlformats.org/officeDocument/2006/relationships/hyperlink" Target="mailto:ryan_fuoss@isp.state.il.us" TargetMode="External"/><Relationship Id="rId60" Type="http://schemas.openxmlformats.org/officeDocument/2006/relationships/hyperlink" Target="mailto:mturturici@vtti.vit.edu" TargetMode="External"/><Relationship Id="rId4" Type="http://schemas.openxmlformats.org/officeDocument/2006/relationships/hyperlink" Target="mailto:rhayes@gohs.ga.gov" TargetMode="External"/><Relationship Id="rId9" Type="http://schemas.openxmlformats.org/officeDocument/2006/relationships/hyperlink" Target="mailto:jason.guidi@volvocars.com" TargetMode="External"/><Relationship Id="rId14" Type="http://schemas.openxmlformats.org/officeDocument/2006/relationships/hyperlink" Target="mailto:medchief@medfield.net" TargetMode="External"/><Relationship Id="rId22" Type="http://schemas.openxmlformats.org/officeDocument/2006/relationships/hyperlink" Target="mailto:allen.shutt@conduent.com" TargetMode="External"/><Relationship Id="rId27" Type="http://schemas.openxmlformats.org/officeDocument/2006/relationships/hyperlink" Target="mailto:robert.holtgrave@lexisnexisrisk.com" TargetMode="External"/><Relationship Id="rId30" Type="http://schemas.openxmlformats.org/officeDocument/2006/relationships/hyperlink" Target="mailto:jofsanik@pa.gov" TargetMode="External"/><Relationship Id="rId35" Type="http://schemas.openxmlformats.org/officeDocument/2006/relationships/hyperlink" Target="mailto:ewalston@vidanthealth.com" TargetMode="External"/><Relationship Id="rId43" Type="http://schemas.openxmlformats.org/officeDocument/2006/relationships/hyperlink" Target="mailto:katie.mueller@dps.ok.gov" TargetMode="External"/><Relationship Id="rId48" Type="http://schemas.openxmlformats.org/officeDocument/2006/relationships/hyperlink" Target="mailto:103@eddyvilleky.com" TargetMode="External"/><Relationship Id="rId56" Type="http://schemas.openxmlformats.org/officeDocument/2006/relationships/hyperlink" Target="mailto:james.rhoades@navy.mil" TargetMode="External"/><Relationship Id="rId8" Type="http://schemas.openxmlformats.org/officeDocument/2006/relationships/hyperlink" Target="mailto:joe_cook@uhaul.com" TargetMode="External"/><Relationship Id="rId51" Type="http://schemas.openxmlformats.org/officeDocument/2006/relationships/hyperlink" Target="mailto:wberk@bianj.org" TargetMode="External"/><Relationship Id="rId3" Type="http://schemas.openxmlformats.org/officeDocument/2006/relationships/hyperlink" Target="mailto:nicholas.worrell@ntsb.gov" TargetMode="External"/><Relationship Id="rId12" Type="http://schemas.openxmlformats.org/officeDocument/2006/relationships/hyperlink" Target="mailto:Chelsie.Hubicsak-Muldowney@hitchcock.org" TargetMode="External"/><Relationship Id="rId17" Type="http://schemas.openxmlformats.org/officeDocument/2006/relationships/hyperlink" Target="mailto:erin.smith@portlandoregon.gov" TargetMode="External"/><Relationship Id="rId25" Type="http://schemas.openxmlformats.org/officeDocument/2006/relationships/hyperlink" Target="mailto:shane.nordyke@usd.edu" TargetMode="External"/><Relationship Id="rId33" Type="http://schemas.openxmlformats.org/officeDocument/2006/relationships/hyperlink" Target="mailto:lawrencer.fisher@ky.gov" TargetMode="External"/><Relationship Id="rId38" Type="http://schemas.openxmlformats.org/officeDocument/2006/relationships/hyperlink" Target="mailto:daviddorsey_06@yahoo.com" TargetMode="External"/><Relationship Id="rId46" Type="http://schemas.openxmlformats.org/officeDocument/2006/relationships/hyperlink" Target="mailto:kelliott@preussergroup.com" TargetMode="External"/><Relationship Id="rId59" Type="http://schemas.openxmlformats.org/officeDocument/2006/relationships/hyperlink" Target="mailto:dtindall@watchguardvideo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wtsettles@alcoholtest.com" TargetMode="External"/><Relationship Id="rId7" Type="http://schemas.openxmlformats.org/officeDocument/2006/relationships/hyperlink" Target="mailto:mhuddleston@SCRAMsystems.com" TargetMode="External"/><Relationship Id="rId2" Type="http://schemas.openxmlformats.org/officeDocument/2006/relationships/hyperlink" Target="mailto:tfornefeld@azgohs.gov" TargetMode="External"/><Relationship Id="rId1" Type="http://schemas.openxmlformats.org/officeDocument/2006/relationships/hyperlink" Target="mailto:debbie@stalkerradar.com" TargetMode="External"/><Relationship Id="rId6" Type="http://schemas.openxmlformats.org/officeDocument/2006/relationships/hyperlink" Target="mailto:jfaux@intoxalock.com" TargetMode="External"/><Relationship Id="rId5" Type="http://schemas.openxmlformats.org/officeDocument/2006/relationships/hyperlink" Target="mailto:tradeshow@acs-corp.com" TargetMode="External"/><Relationship Id="rId4" Type="http://schemas.openxmlformats.org/officeDocument/2006/relationships/hyperlink" Target="mailto:shashunga.clayton@dot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46"/>
  <sheetViews>
    <sheetView topLeftCell="A517" zoomScaleNormal="100" workbookViewId="0">
      <selection activeCell="B546" sqref="B546"/>
    </sheetView>
  </sheetViews>
  <sheetFormatPr defaultRowHeight="14.4" x14ac:dyDescent="0.3"/>
  <cols>
    <col min="2" max="2" width="11" customWidth="1"/>
    <col min="3" max="3" width="6.33203125" customWidth="1"/>
    <col min="4" max="4" width="43.6640625" customWidth="1"/>
    <col min="5" max="5" width="31.44140625" customWidth="1"/>
    <col min="6" max="6" width="25.88671875" customWidth="1"/>
    <col min="7" max="7" width="20.5546875" customWidth="1"/>
    <col min="8" max="8" width="19.5546875" customWidth="1"/>
    <col min="9" max="9" width="6.44140625" customWidth="1"/>
    <col min="10" max="10" width="10" customWidth="1"/>
    <col min="13" max="13" width="17.44140625" customWidth="1"/>
    <col min="14" max="14" width="35.5546875" customWidth="1"/>
  </cols>
  <sheetData>
    <row r="1" spans="1:14" ht="15" x14ac:dyDescent="0.25">
      <c r="A1" s="16" t="s">
        <v>0</v>
      </c>
      <c r="B1" s="17" t="s">
        <v>1</v>
      </c>
      <c r="C1" s="17" t="s">
        <v>2</v>
      </c>
      <c r="D1" s="17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7" t="s">
        <v>13</v>
      </c>
    </row>
    <row r="2" spans="1:14" ht="15" x14ac:dyDescent="0.25">
      <c r="A2" s="18" t="s">
        <v>1492</v>
      </c>
      <c r="B2" s="18" t="s">
        <v>1493</v>
      </c>
      <c r="C2" s="6"/>
      <c r="D2" s="6" t="s">
        <v>1494</v>
      </c>
      <c r="E2" s="6" t="s">
        <v>1495</v>
      </c>
      <c r="F2" s="6" t="s">
        <v>1496</v>
      </c>
      <c r="G2" s="6"/>
      <c r="H2" s="6" t="s">
        <v>1497</v>
      </c>
      <c r="I2" s="6" t="s">
        <v>1498</v>
      </c>
      <c r="J2" s="18" t="str">
        <f>"02903"</f>
        <v>02903</v>
      </c>
      <c r="K2" s="6"/>
      <c r="L2" s="6" t="s">
        <v>22</v>
      </c>
      <c r="M2" s="6" t="s">
        <v>1499</v>
      </c>
      <c r="N2" s="7" t="s">
        <v>1500</v>
      </c>
    </row>
    <row r="3" spans="1:14" ht="15" x14ac:dyDescent="0.25">
      <c r="A3" s="18" t="s">
        <v>1568</v>
      </c>
      <c r="B3" s="18" t="s">
        <v>2391</v>
      </c>
      <c r="C3" s="6"/>
      <c r="D3" s="6" t="s">
        <v>2392</v>
      </c>
      <c r="E3" s="6" t="s">
        <v>2393</v>
      </c>
      <c r="F3" s="6" t="s">
        <v>2394</v>
      </c>
      <c r="G3" s="6"/>
      <c r="H3" s="6" t="s">
        <v>2395</v>
      </c>
      <c r="I3" s="6" t="s">
        <v>780</v>
      </c>
      <c r="J3" s="18" t="str">
        <f>"87022"</f>
        <v>87022</v>
      </c>
      <c r="K3" s="6"/>
      <c r="L3" s="6" t="s">
        <v>22</v>
      </c>
      <c r="M3" s="6" t="s">
        <v>2396</v>
      </c>
      <c r="N3" s="7" t="s">
        <v>2397</v>
      </c>
    </row>
    <row r="4" spans="1:14" ht="15" x14ac:dyDescent="0.25">
      <c r="A4" s="18" t="s">
        <v>767</v>
      </c>
      <c r="B4" s="18" t="s">
        <v>3518</v>
      </c>
      <c r="C4" s="6"/>
      <c r="D4" s="6" t="s">
        <v>3519</v>
      </c>
      <c r="E4" s="6" t="s">
        <v>3520</v>
      </c>
      <c r="F4" s="6" t="s">
        <v>3521</v>
      </c>
      <c r="G4" s="6"/>
      <c r="H4" s="6" t="s">
        <v>647</v>
      </c>
      <c r="I4" s="6" t="s">
        <v>30</v>
      </c>
      <c r="J4" s="18">
        <v>22314</v>
      </c>
      <c r="K4" s="6"/>
      <c r="L4" s="6" t="s">
        <v>22</v>
      </c>
      <c r="M4" s="6" t="s">
        <v>3522</v>
      </c>
      <c r="N4" s="8" t="s">
        <v>3523</v>
      </c>
    </row>
    <row r="5" spans="1:14" ht="15" x14ac:dyDescent="0.25">
      <c r="A5" s="18" t="s">
        <v>2269</v>
      </c>
      <c r="B5" s="18" t="s">
        <v>2270</v>
      </c>
      <c r="C5" s="6"/>
      <c r="D5" s="6" t="s">
        <v>2266</v>
      </c>
      <c r="E5" s="6"/>
      <c r="F5" s="6" t="s">
        <v>2267</v>
      </c>
      <c r="G5" s="6"/>
      <c r="H5" s="6" t="s">
        <v>325</v>
      </c>
      <c r="I5" s="6" t="s">
        <v>326</v>
      </c>
      <c r="J5" s="18" t="str">
        <f>"27609"</f>
        <v>27609</v>
      </c>
      <c r="K5" s="6"/>
      <c r="L5" s="6" t="s">
        <v>22</v>
      </c>
      <c r="M5" s="6" t="s">
        <v>2268</v>
      </c>
      <c r="N5" s="7" t="s">
        <v>2271</v>
      </c>
    </row>
    <row r="6" spans="1:14" ht="15" x14ac:dyDescent="0.25">
      <c r="A6" s="18" t="s">
        <v>317</v>
      </c>
      <c r="B6" s="18" t="s">
        <v>1297</v>
      </c>
      <c r="C6" s="6"/>
      <c r="D6" s="6" t="s">
        <v>1298</v>
      </c>
      <c r="E6" s="6"/>
      <c r="F6" s="6" t="s">
        <v>1299</v>
      </c>
      <c r="G6" s="6"/>
      <c r="H6" s="6" t="s">
        <v>971</v>
      </c>
      <c r="I6" s="6" t="s">
        <v>172</v>
      </c>
      <c r="J6" s="18" t="str">
        <f>"40741"</f>
        <v>40741</v>
      </c>
      <c r="K6" s="6"/>
      <c r="L6" s="6" t="s">
        <v>22</v>
      </c>
      <c r="M6" s="6" t="s">
        <v>1300</v>
      </c>
      <c r="N6" s="7" t="s">
        <v>1301</v>
      </c>
    </row>
    <row r="7" spans="1:14" ht="15" x14ac:dyDescent="0.25">
      <c r="A7" s="18" t="s">
        <v>1568</v>
      </c>
      <c r="B7" s="18" t="s">
        <v>1569</v>
      </c>
      <c r="C7" s="6"/>
      <c r="D7" s="6" t="s">
        <v>17</v>
      </c>
      <c r="E7" s="6" t="s">
        <v>270</v>
      </c>
      <c r="F7" s="6" t="s">
        <v>36</v>
      </c>
      <c r="G7" s="6"/>
      <c r="H7" s="6" t="s">
        <v>38</v>
      </c>
      <c r="I7" s="6" t="s">
        <v>39</v>
      </c>
      <c r="J7" s="18" t="str">
        <f>"20001-1534"</f>
        <v>20001-1534</v>
      </c>
      <c r="K7" s="6"/>
      <c r="L7" s="6" t="s">
        <v>22</v>
      </c>
      <c r="M7" s="6" t="s">
        <v>1570</v>
      </c>
      <c r="N7" s="7" t="s">
        <v>1571</v>
      </c>
    </row>
    <row r="8" spans="1:14" ht="15" x14ac:dyDescent="0.25">
      <c r="A8" s="18" t="s">
        <v>1059</v>
      </c>
      <c r="B8" s="18" t="s">
        <v>3472</v>
      </c>
      <c r="C8" s="6"/>
      <c r="D8" s="6" t="s">
        <v>1694</v>
      </c>
      <c r="E8" s="6" t="s">
        <v>3473</v>
      </c>
      <c r="F8" s="6" t="s">
        <v>3474</v>
      </c>
      <c r="G8" s="6"/>
      <c r="H8" s="6" t="s">
        <v>1834</v>
      </c>
      <c r="I8" s="6" t="s">
        <v>454</v>
      </c>
      <c r="J8" s="18">
        <v>62704</v>
      </c>
      <c r="K8" s="6"/>
      <c r="L8" s="6" t="s">
        <v>22</v>
      </c>
      <c r="M8" s="6" t="s">
        <v>3475</v>
      </c>
      <c r="N8" s="8" t="s">
        <v>3476</v>
      </c>
    </row>
    <row r="9" spans="1:14" ht="15" x14ac:dyDescent="0.25">
      <c r="A9" s="18" t="s">
        <v>394</v>
      </c>
      <c r="B9" s="18" t="s">
        <v>395</v>
      </c>
      <c r="C9" s="6"/>
      <c r="D9" s="6" t="s">
        <v>378</v>
      </c>
      <c r="E9" s="6" t="s">
        <v>396</v>
      </c>
      <c r="F9" s="6" t="s">
        <v>379</v>
      </c>
      <c r="G9" s="6"/>
      <c r="H9" s="6" t="s">
        <v>380</v>
      </c>
      <c r="I9" s="6" t="s">
        <v>381</v>
      </c>
      <c r="J9" s="18" t="str">
        <f>"57501"</f>
        <v>57501</v>
      </c>
      <c r="K9" s="6"/>
      <c r="L9" s="6" t="s">
        <v>22</v>
      </c>
      <c r="M9" s="6" t="s">
        <v>387</v>
      </c>
      <c r="N9" s="7" t="s">
        <v>397</v>
      </c>
    </row>
    <row r="10" spans="1:14" ht="15" x14ac:dyDescent="0.25">
      <c r="A10" s="18" t="s">
        <v>2284</v>
      </c>
      <c r="B10" s="18" t="s">
        <v>2285</v>
      </c>
      <c r="C10" s="6"/>
      <c r="D10" s="6" t="s">
        <v>2286</v>
      </c>
      <c r="E10" s="6" t="s">
        <v>2287</v>
      </c>
      <c r="F10" s="6" t="s">
        <v>2288</v>
      </c>
      <c r="G10" s="6"/>
      <c r="H10" s="6" t="s">
        <v>2289</v>
      </c>
      <c r="I10" s="6" t="s">
        <v>172</v>
      </c>
      <c r="J10" s="18" t="str">
        <f>"41014"</f>
        <v>41014</v>
      </c>
      <c r="K10" s="6"/>
      <c r="L10" s="6" t="s">
        <v>22</v>
      </c>
      <c r="M10" s="6" t="s">
        <v>2290</v>
      </c>
      <c r="N10" s="7" t="s">
        <v>2291</v>
      </c>
    </row>
    <row r="11" spans="1:14" ht="15" x14ac:dyDescent="0.25">
      <c r="A11" s="18" t="s">
        <v>3392</v>
      </c>
      <c r="B11" s="18" t="s">
        <v>977</v>
      </c>
      <c r="C11" s="6"/>
      <c r="D11" s="6" t="s">
        <v>3513</v>
      </c>
      <c r="E11" s="6" t="s">
        <v>231</v>
      </c>
      <c r="F11" s="6" t="s">
        <v>3514</v>
      </c>
      <c r="G11" s="6"/>
      <c r="H11" s="6" t="s">
        <v>3515</v>
      </c>
      <c r="I11" s="6" t="s">
        <v>172</v>
      </c>
      <c r="J11" s="18">
        <v>42038</v>
      </c>
      <c r="K11" s="6"/>
      <c r="L11" s="6" t="s">
        <v>22</v>
      </c>
      <c r="M11" s="6" t="s">
        <v>3516</v>
      </c>
      <c r="N11" s="8" t="s">
        <v>3517</v>
      </c>
    </row>
    <row r="12" spans="1:14" ht="15" x14ac:dyDescent="0.25">
      <c r="A12" s="18" t="s">
        <v>1462</v>
      </c>
      <c r="B12" s="18" t="s">
        <v>1463</v>
      </c>
      <c r="C12" s="6"/>
      <c r="D12" s="6" t="s">
        <v>3306</v>
      </c>
      <c r="E12" s="6" t="s">
        <v>3307</v>
      </c>
      <c r="F12" s="6" t="s">
        <v>1465</v>
      </c>
      <c r="G12" s="6"/>
      <c r="H12" s="6" t="s">
        <v>1466</v>
      </c>
      <c r="I12" s="6" t="s">
        <v>1467</v>
      </c>
      <c r="J12" s="18" t="str">
        <f>"59620"</f>
        <v>59620</v>
      </c>
      <c r="K12" s="6"/>
      <c r="L12" s="6" t="s">
        <v>22</v>
      </c>
      <c r="M12" s="6" t="s">
        <v>1468</v>
      </c>
      <c r="N12" s="7" t="s">
        <v>1469</v>
      </c>
    </row>
    <row r="13" spans="1:14" ht="15" x14ac:dyDescent="0.25">
      <c r="A13" s="18" t="s">
        <v>685</v>
      </c>
      <c r="B13" s="18" t="s">
        <v>686</v>
      </c>
      <c r="C13" s="6"/>
      <c r="D13" s="6" t="s">
        <v>670</v>
      </c>
      <c r="E13" s="6" t="s">
        <v>687</v>
      </c>
      <c r="F13" s="6" t="s">
        <v>688</v>
      </c>
      <c r="G13" s="6"/>
      <c r="H13" s="6" t="s">
        <v>678</v>
      </c>
      <c r="I13" s="6" t="s">
        <v>137</v>
      </c>
      <c r="J13" s="18" t="str">
        <f>"96911"</f>
        <v>96911</v>
      </c>
      <c r="K13" s="6" t="s">
        <v>673</v>
      </c>
      <c r="L13" s="6" t="s">
        <v>22</v>
      </c>
      <c r="M13" s="6" t="s">
        <v>689</v>
      </c>
      <c r="N13" s="7" t="s">
        <v>690</v>
      </c>
    </row>
    <row r="14" spans="1:14" ht="15" x14ac:dyDescent="0.25">
      <c r="A14" s="18" t="s">
        <v>1577</v>
      </c>
      <c r="B14" s="18" t="s">
        <v>1578</v>
      </c>
      <c r="C14" s="6"/>
      <c r="D14" s="6" t="s">
        <v>17</v>
      </c>
      <c r="E14" s="6" t="s">
        <v>1579</v>
      </c>
      <c r="F14" s="6" t="s">
        <v>36</v>
      </c>
      <c r="G14" s="6"/>
      <c r="H14" s="6" t="s">
        <v>38</v>
      </c>
      <c r="I14" s="6" t="s">
        <v>39</v>
      </c>
      <c r="J14" s="18" t="str">
        <f>"20001-1534"</f>
        <v>20001-1534</v>
      </c>
      <c r="K14" s="6"/>
      <c r="L14" s="6" t="s">
        <v>22</v>
      </c>
      <c r="M14" s="6" t="s">
        <v>40</v>
      </c>
      <c r="N14" s="7" t="s">
        <v>1580</v>
      </c>
    </row>
    <row r="15" spans="1:14" ht="15" x14ac:dyDescent="0.25">
      <c r="A15" s="18" t="s">
        <v>320</v>
      </c>
      <c r="B15" s="18" t="s">
        <v>321</v>
      </c>
      <c r="C15" s="6"/>
      <c r="D15" s="6" t="s">
        <v>322</v>
      </c>
      <c r="E15" s="6" t="s">
        <v>323</v>
      </c>
      <c r="F15" s="6" t="s">
        <v>324</v>
      </c>
      <c r="G15" s="6"/>
      <c r="H15" s="6" t="s">
        <v>325</v>
      </c>
      <c r="I15" s="6" t="s">
        <v>326</v>
      </c>
      <c r="J15" s="18" t="str">
        <f>"27606-8035"</f>
        <v>27606-8035</v>
      </c>
      <c r="K15" s="6"/>
      <c r="L15" s="6" t="s">
        <v>22</v>
      </c>
      <c r="M15" s="6" t="s">
        <v>327</v>
      </c>
      <c r="N15" s="7" t="s">
        <v>328</v>
      </c>
    </row>
    <row r="16" spans="1:14" ht="15" x14ac:dyDescent="0.25">
      <c r="A16" s="18" t="s">
        <v>3049</v>
      </c>
      <c r="B16" s="18" t="s">
        <v>321</v>
      </c>
      <c r="C16" s="6"/>
      <c r="D16" s="6" t="s">
        <v>2555</v>
      </c>
      <c r="E16" s="6" t="s">
        <v>3050</v>
      </c>
      <c r="F16" s="6" t="s">
        <v>3051</v>
      </c>
      <c r="G16" s="6" t="s">
        <v>3052</v>
      </c>
      <c r="H16" s="6" t="s">
        <v>2559</v>
      </c>
      <c r="I16" s="6" t="s">
        <v>86</v>
      </c>
      <c r="J16" s="18" t="str">
        <f>"10022"</f>
        <v>10022</v>
      </c>
      <c r="K16" s="6"/>
      <c r="L16" s="6" t="s">
        <v>22</v>
      </c>
      <c r="M16" s="6" t="s">
        <v>3053</v>
      </c>
      <c r="N16" s="7" t="s">
        <v>3054</v>
      </c>
    </row>
    <row r="17" spans="1:14" ht="15" x14ac:dyDescent="0.25">
      <c r="A17" s="18" t="s">
        <v>474</v>
      </c>
      <c r="B17" s="18" t="s">
        <v>1449</v>
      </c>
      <c r="C17" s="6"/>
      <c r="D17" s="6" t="s">
        <v>1438</v>
      </c>
      <c r="E17" s="6" t="s">
        <v>277</v>
      </c>
      <c r="F17" s="6" t="s">
        <v>1440</v>
      </c>
      <c r="G17" s="6" t="s">
        <v>1441</v>
      </c>
      <c r="H17" s="6" t="s">
        <v>1442</v>
      </c>
      <c r="I17" s="6" t="s">
        <v>1324</v>
      </c>
      <c r="J17" s="18" t="str">
        <f>"30334"</f>
        <v>30334</v>
      </c>
      <c r="K17" s="6"/>
      <c r="L17" s="6" t="s">
        <v>22</v>
      </c>
      <c r="M17" s="6" t="s">
        <v>1450</v>
      </c>
      <c r="N17" s="7" t="s">
        <v>1451</v>
      </c>
    </row>
    <row r="18" spans="1:14" ht="15" x14ac:dyDescent="0.25">
      <c r="A18" s="18" t="s">
        <v>1317</v>
      </c>
      <c r="B18" s="18" t="s">
        <v>1318</v>
      </c>
      <c r="C18" s="6"/>
      <c r="D18" s="6" t="s">
        <v>1319</v>
      </c>
      <c r="E18" s="6" t="s">
        <v>1320</v>
      </c>
      <c r="F18" s="6" t="s">
        <v>1321</v>
      </c>
      <c r="G18" s="6" t="s">
        <v>1322</v>
      </c>
      <c r="H18" s="6" t="s">
        <v>1323</v>
      </c>
      <c r="I18" s="6" t="s">
        <v>1324</v>
      </c>
      <c r="J18" s="18" t="str">
        <f>"30005"</f>
        <v>30005</v>
      </c>
      <c r="K18" s="6"/>
      <c r="L18" s="6" t="s">
        <v>22</v>
      </c>
      <c r="M18" s="6" t="s">
        <v>1325</v>
      </c>
      <c r="N18" s="7" t="s">
        <v>1326</v>
      </c>
    </row>
    <row r="19" spans="1:14" ht="15" x14ac:dyDescent="0.25">
      <c r="A19" s="18" t="s">
        <v>2650</v>
      </c>
      <c r="B19" s="18" t="s">
        <v>2651</v>
      </c>
      <c r="C19" s="6"/>
      <c r="D19" s="6" t="s">
        <v>159</v>
      </c>
      <c r="E19" s="6" t="s">
        <v>2652</v>
      </c>
      <c r="F19" s="6" t="s">
        <v>161</v>
      </c>
      <c r="G19" s="6" t="s">
        <v>162</v>
      </c>
      <c r="H19" s="6" t="s">
        <v>38</v>
      </c>
      <c r="I19" s="6" t="s">
        <v>39</v>
      </c>
      <c r="J19" s="18" t="str">
        <f>"20036"</f>
        <v>20036</v>
      </c>
      <c r="K19" s="6"/>
      <c r="L19" s="6" t="s">
        <v>22</v>
      </c>
      <c r="M19" s="6" t="s">
        <v>2653</v>
      </c>
      <c r="N19" s="7" t="s">
        <v>2654</v>
      </c>
    </row>
    <row r="20" spans="1:14" ht="15" x14ac:dyDescent="0.25">
      <c r="A20" s="18" t="s">
        <v>113</v>
      </c>
      <c r="B20" s="18" t="s">
        <v>2312</v>
      </c>
      <c r="C20" s="6"/>
      <c r="D20" s="6" t="s">
        <v>670</v>
      </c>
      <c r="E20" s="6" t="s">
        <v>2313</v>
      </c>
      <c r="F20" s="6" t="s">
        <v>688</v>
      </c>
      <c r="G20" s="6"/>
      <c r="H20" s="6" t="s">
        <v>678</v>
      </c>
      <c r="I20" s="6" t="s">
        <v>137</v>
      </c>
      <c r="J20" s="18" t="str">
        <f>"96911"</f>
        <v>96911</v>
      </c>
      <c r="K20" s="6" t="s">
        <v>673</v>
      </c>
      <c r="L20" s="6" t="s">
        <v>22</v>
      </c>
      <c r="M20" s="6" t="s">
        <v>674</v>
      </c>
      <c r="N20" s="7" t="s">
        <v>2314</v>
      </c>
    </row>
    <row r="21" spans="1:14" ht="15" x14ac:dyDescent="0.25">
      <c r="A21" s="18" t="s">
        <v>505</v>
      </c>
      <c r="B21" s="18" t="s">
        <v>506</v>
      </c>
      <c r="C21" s="6"/>
      <c r="D21" s="6" t="s">
        <v>507</v>
      </c>
      <c r="E21" s="6" t="s">
        <v>508</v>
      </c>
      <c r="F21" s="6" t="s">
        <v>509</v>
      </c>
      <c r="G21" s="6" t="s">
        <v>510</v>
      </c>
      <c r="H21" s="6" t="s">
        <v>471</v>
      </c>
      <c r="I21" s="6" t="s">
        <v>118</v>
      </c>
      <c r="J21" s="18" t="str">
        <f>"48126"</f>
        <v>48126</v>
      </c>
      <c r="K21" s="6"/>
      <c r="L21" s="6" t="s">
        <v>22</v>
      </c>
      <c r="M21" s="6" t="s">
        <v>511</v>
      </c>
      <c r="N21" s="7" t="s">
        <v>512</v>
      </c>
    </row>
    <row r="22" spans="1:14" ht="15" x14ac:dyDescent="0.25">
      <c r="A22" s="18" t="s">
        <v>121</v>
      </c>
      <c r="B22" s="18" t="s">
        <v>845</v>
      </c>
      <c r="C22" s="6"/>
      <c r="D22" s="6" t="s">
        <v>2040</v>
      </c>
      <c r="E22" s="6" t="s">
        <v>2108</v>
      </c>
      <c r="F22" s="6" t="s">
        <v>2109</v>
      </c>
      <c r="G22" s="6" t="s">
        <v>2110</v>
      </c>
      <c r="H22" s="6" t="s">
        <v>1442</v>
      </c>
      <c r="I22" s="6" t="s">
        <v>1324</v>
      </c>
      <c r="J22" s="18" t="str">
        <f>"30303"</f>
        <v>30303</v>
      </c>
      <c r="K22" s="6"/>
      <c r="L22" s="6" t="s">
        <v>22</v>
      </c>
      <c r="M22" s="6" t="s">
        <v>2111</v>
      </c>
      <c r="N22" s="7" t="s">
        <v>2112</v>
      </c>
    </row>
    <row r="23" spans="1:14" ht="15" x14ac:dyDescent="0.25">
      <c r="A23" s="18" t="s">
        <v>376</v>
      </c>
      <c r="B23" s="18" t="s">
        <v>377</v>
      </c>
      <c r="C23" s="6"/>
      <c r="D23" s="6" t="s">
        <v>378</v>
      </c>
      <c r="E23" s="6" t="s">
        <v>64</v>
      </c>
      <c r="F23" s="6" t="s">
        <v>379</v>
      </c>
      <c r="G23" s="6"/>
      <c r="H23" s="6" t="s">
        <v>380</v>
      </c>
      <c r="I23" s="6" t="s">
        <v>381</v>
      </c>
      <c r="J23" s="18" t="str">
        <f>"57501"</f>
        <v>57501</v>
      </c>
      <c r="K23" s="6"/>
      <c r="L23" s="6" t="s">
        <v>22</v>
      </c>
      <c r="M23" s="6" t="s">
        <v>382</v>
      </c>
      <c r="N23" s="7" t="s">
        <v>383</v>
      </c>
    </row>
    <row r="24" spans="1:14" ht="15" x14ac:dyDescent="0.25">
      <c r="A24" s="18" t="s">
        <v>1879</v>
      </c>
      <c r="B24" s="18" t="s">
        <v>3259</v>
      </c>
      <c r="C24" s="6"/>
      <c r="D24" s="6" t="s">
        <v>3260</v>
      </c>
      <c r="E24" s="6" t="s">
        <v>3261</v>
      </c>
      <c r="F24" s="6" t="s">
        <v>2848</v>
      </c>
      <c r="G24" s="6"/>
      <c r="H24" s="6" t="s">
        <v>1206</v>
      </c>
      <c r="I24" s="6" t="s">
        <v>462</v>
      </c>
      <c r="J24" s="18">
        <v>29615</v>
      </c>
      <c r="K24" s="6"/>
      <c r="L24" s="6" t="s">
        <v>22</v>
      </c>
      <c r="M24" s="6" t="s">
        <v>3262</v>
      </c>
      <c r="N24" s="7" t="s">
        <v>3263</v>
      </c>
    </row>
    <row r="25" spans="1:14" ht="15" x14ac:dyDescent="0.25">
      <c r="A25" s="18" t="s">
        <v>439</v>
      </c>
      <c r="B25" s="18" t="s">
        <v>440</v>
      </c>
      <c r="C25" s="6"/>
      <c r="D25" s="6" t="s">
        <v>441</v>
      </c>
      <c r="E25" s="6" t="s">
        <v>442</v>
      </c>
      <c r="F25" s="6" t="s">
        <v>443</v>
      </c>
      <c r="G25" s="6" t="s">
        <v>444</v>
      </c>
      <c r="H25" s="6" t="s">
        <v>445</v>
      </c>
      <c r="I25" s="6" t="s">
        <v>172</v>
      </c>
      <c r="J25" s="18" t="str">
        <f>"41018"</f>
        <v>41018</v>
      </c>
      <c r="K25" s="6"/>
      <c r="L25" s="6" t="s">
        <v>22</v>
      </c>
      <c r="M25" s="6" t="s">
        <v>446</v>
      </c>
      <c r="N25" s="7" t="s">
        <v>447</v>
      </c>
    </row>
    <row r="26" spans="1:14" ht="15" x14ac:dyDescent="0.25">
      <c r="A26" s="18" t="s">
        <v>1911</v>
      </c>
      <c r="B26" s="18" t="s">
        <v>1912</v>
      </c>
      <c r="C26" s="6"/>
      <c r="D26" s="6" t="s">
        <v>1913</v>
      </c>
      <c r="E26" s="6" t="s">
        <v>290</v>
      </c>
      <c r="F26" s="6" t="s">
        <v>1914</v>
      </c>
      <c r="G26" s="6" t="s">
        <v>1915</v>
      </c>
      <c r="H26" s="6" t="s">
        <v>1916</v>
      </c>
      <c r="I26" s="6" t="s">
        <v>703</v>
      </c>
      <c r="J26" s="18" t="str">
        <f>"06320"</f>
        <v>06320</v>
      </c>
      <c r="K26" s="6"/>
      <c r="L26" s="6" t="s">
        <v>22</v>
      </c>
      <c r="M26" s="6" t="s">
        <v>1917</v>
      </c>
      <c r="N26" s="7" t="s">
        <v>1918</v>
      </c>
    </row>
    <row r="27" spans="1:14" ht="15" x14ac:dyDescent="0.25">
      <c r="A27" s="18" t="s">
        <v>906</v>
      </c>
      <c r="B27" s="18" t="s">
        <v>1431</v>
      </c>
      <c r="C27" s="6"/>
      <c r="D27" s="6" t="s">
        <v>1432</v>
      </c>
      <c r="E27" s="6" t="s">
        <v>828</v>
      </c>
      <c r="F27" s="6" t="s">
        <v>1433</v>
      </c>
      <c r="G27" s="6" t="s">
        <v>1434</v>
      </c>
      <c r="H27" s="6" t="s">
        <v>191</v>
      </c>
      <c r="I27" s="6" t="s">
        <v>21</v>
      </c>
      <c r="J27" s="18" t="str">
        <f>"21201"</f>
        <v>21201</v>
      </c>
      <c r="K27" s="6"/>
      <c r="L27" s="6" t="s">
        <v>22</v>
      </c>
      <c r="M27" s="6" t="s">
        <v>1435</v>
      </c>
      <c r="N27" s="8" t="s">
        <v>3308</v>
      </c>
    </row>
    <row r="28" spans="1:14" ht="15" x14ac:dyDescent="0.25">
      <c r="A28" s="18" t="s">
        <v>1302</v>
      </c>
      <c r="B28" s="18" t="s">
        <v>2909</v>
      </c>
      <c r="C28" s="6"/>
      <c r="D28" s="6" t="s">
        <v>2904</v>
      </c>
      <c r="E28" s="6" t="s">
        <v>2910</v>
      </c>
      <c r="F28" s="6" t="s">
        <v>2905</v>
      </c>
      <c r="G28" s="6"/>
      <c r="H28" s="6" t="s">
        <v>2906</v>
      </c>
      <c r="I28" s="6" t="s">
        <v>172</v>
      </c>
      <c r="J28" s="18" t="str">
        <f>"40047"</f>
        <v>40047</v>
      </c>
      <c r="K28" s="6"/>
      <c r="L28" s="6" t="s">
        <v>22</v>
      </c>
      <c r="M28" s="6" t="s">
        <v>2907</v>
      </c>
      <c r="N28" s="7" t="s">
        <v>2911</v>
      </c>
    </row>
    <row r="29" spans="1:14" ht="15" x14ac:dyDescent="0.25">
      <c r="A29" s="18" t="s">
        <v>287</v>
      </c>
      <c r="B29" s="18" t="s">
        <v>2912</v>
      </c>
      <c r="C29" s="6"/>
      <c r="D29" s="6" t="s">
        <v>1068</v>
      </c>
      <c r="E29" s="6" t="s">
        <v>2913</v>
      </c>
      <c r="F29" s="6" t="s">
        <v>2914</v>
      </c>
      <c r="G29" s="6"/>
      <c r="H29" s="6" t="s">
        <v>1069</v>
      </c>
      <c r="I29" s="6" t="s">
        <v>264</v>
      </c>
      <c r="J29" s="18" t="str">
        <f>"80120"</f>
        <v>80120</v>
      </c>
      <c r="K29" s="6"/>
      <c r="L29" s="6" t="s">
        <v>22</v>
      </c>
      <c r="M29" s="6" t="s">
        <v>2915</v>
      </c>
      <c r="N29" s="7" t="s">
        <v>2916</v>
      </c>
    </row>
    <row r="30" spans="1:14" ht="15" x14ac:dyDescent="0.25">
      <c r="A30" s="18" t="s">
        <v>748</v>
      </c>
      <c r="B30" s="18" t="s">
        <v>749</v>
      </c>
      <c r="C30" s="6"/>
      <c r="D30" s="6" t="s">
        <v>750</v>
      </c>
      <c r="E30" s="6" t="s">
        <v>751</v>
      </c>
      <c r="F30" s="6" t="s">
        <v>752</v>
      </c>
      <c r="G30" s="6"/>
      <c r="H30" s="6" t="s">
        <v>753</v>
      </c>
      <c r="I30" s="6" t="s">
        <v>754</v>
      </c>
      <c r="J30" s="18" t="str">
        <f>"03305"</f>
        <v>03305</v>
      </c>
      <c r="K30" s="6"/>
      <c r="L30" s="6" t="s">
        <v>22</v>
      </c>
      <c r="M30" s="6" t="s">
        <v>755</v>
      </c>
      <c r="N30" s="7" t="s">
        <v>756</v>
      </c>
    </row>
    <row r="31" spans="1:14" ht="15" x14ac:dyDescent="0.25">
      <c r="A31" s="18" t="s">
        <v>1237</v>
      </c>
      <c r="B31" s="18" t="s">
        <v>1238</v>
      </c>
      <c r="C31" s="6"/>
      <c r="D31" s="6" t="s">
        <v>1239</v>
      </c>
      <c r="E31" s="6" t="s">
        <v>1240</v>
      </c>
      <c r="F31" s="6" t="s">
        <v>1241</v>
      </c>
      <c r="G31" s="6"/>
      <c r="H31" s="6" t="s">
        <v>1216</v>
      </c>
      <c r="I31" s="6" t="s">
        <v>1217</v>
      </c>
      <c r="J31" s="18" t="str">
        <f>"36362"</f>
        <v>36362</v>
      </c>
      <c r="K31" s="6"/>
      <c r="L31" s="6" t="s">
        <v>22</v>
      </c>
      <c r="M31" s="6" t="s">
        <v>1242</v>
      </c>
      <c r="N31" s="7" t="s">
        <v>1243</v>
      </c>
    </row>
    <row r="32" spans="1:14" ht="15" x14ac:dyDescent="0.25">
      <c r="A32" s="18" t="s">
        <v>1244</v>
      </c>
      <c r="B32" s="18" t="s">
        <v>1809</v>
      </c>
      <c r="C32" s="6"/>
      <c r="D32" s="6" t="s">
        <v>1790</v>
      </c>
      <c r="E32" s="6" t="s">
        <v>1810</v>
      </c>
      <c r="F32" s="6" t="s">
        <v>1792</v>
      </c>
      <c r="G32" s="6"/>
      <c r="H32" s="6" t="s">
        <v>1793</v>
      </c>
      <c r="I32" s="6" t="s">
        <v>76</v>
      </c>
      <c r="J32" s="18" t="str">
        <f>"76708"</f>
        <v>76708</v>
      </c>
      <c r="K32" s="6"/>
      <c r="L32" s="6" t="s">
        <v>22</v>
      </c>
      <c r="M32" s="6" t="s">
        <v>1811</v>
      </c>
      <c r="N32" s="7" t="s">
        <v>1812</v>
      </c>
    </row>
    <row r="33" spans="1:14" ht="15" x14ac:dyDescent="0.25">
      <c r="A33" s="18" t="s">
        <v>767</v>
      </c>
      <c r="B33" s="18" t="s">
        <v>1952</v>
      </c>
      <c r="C33" s="6"/>
      <c r="D33" s="6" t="s">
        <v>1953</v>
      </c>
      <c r="E33" s="6" t="s">
        <v>64</v>
      </c>
      <c r="F33" s="6" t="s">
        <v>1954</v>
      </c>
      <c r="G33" s="6"/>
      <c r="H33" s="6" t="s">
        <v>1189</v>
      </c>
      <c r="I33" s="6" t="s">
        <v>734</v>
      </c>
      <c r="J33" s="18" t="str">
        <f>"73136"</f>
        <v>73136</v>
      </c>
      <c r="K33" s="6"/>
      <c r="L33" s="6" t="s">
        <v>22</v>
      </c>
      <c r="M33" s="6" t="s">
        <v>1955</v>
      </c>
      <c r="N33" s="7" t="s">
        <v>1956</v>
      </c>
    </row>
    <row r="34" spans="1:14" ht="15" x14ac:dyDescent="0.25">
      <c r="A34" s="18" t="s">
        <v>308</v>
      </c>
      <c r="B34" s="18" t="s">
        <v>2852</v>
      </c>
      <c r="C34" s="6"/>
      <c r="D34" s="6" t="s">
        <v>2853</v>
      </c>
      <c r="E34" s="6" t="s">
        <v>2854</v>
      </c>
      <c r="F34" s="6" t="s">
        <v>2855</v>
      </c>
      <c r="G34" s="6" t="s">
        <v>2856</v>
      </c>
      <c r="H34" s="6" t="s">
        <v>2857</v>
      </c>
      <c r="I34" s="6" t="s">
        <v>280</v>
      </c>
      <c r="J34" s="18" t="str">
        <f>"98201"</f>
        <v>98201</v>
      </c>
      <c r="K34" s="6"/>
      <c r="L34" s="6" t="s">
        <v>22</v>
      </c>
      <c r="M34" s="6" t="s">
        <v>2858</v>
      </c>
      <c r="N34" s="7" t="s">
        <v>2859</v>
      </c>
    </row>
    <row r="35" spans="1:14" ht="15" x14ac:dyDescent="0.25">
      <c r="A35" s="18" t="s">
        <v>1452</v>
      </c>
      <c r="B35" s="18" t="s">
        <v>1453</v>
      </c>
      <c r="C35" s="6"/>
      <c r="D35" s="6" t="s">
        <v>1438</v>
      </c>
      <c r="E35" s="6" t="s">
        <v>1454</v>
      </c>
      <c r="F35" s="6" t="s">
        <v>1440</v>
      </c>
      <c r="G35" s="6"/>
      <c r="H35" s="6" t="s">
        <v>1442</v>
      </c>
      <c r="I35" s="6" t="s">
        <v>1324</v>
      </c>
      <c r="J35" s="18" t="str">
        <f>"30334"</f>
        <v>30334</v>
      </c>
      <c r="K35" s="6"/>
      <c r="L35" s="6" t="s">
        <v>22</v>
      </c>
      <c r="M35" s="6" t="s">
        <v>1443</v>
      </c>
      <c r="N35" s="7" t="s">
        <v>1455</v>
      </c>
    </row>
    <row r="36" spans="1:14" ht="15" x14ac:dyDescent="0.25">
      <c r="A36" s="18" t="s">
        <v>2239</v>
      </c>
      <c r="B36" s="18" t="s">
        <v>2240</v>
      </c>
      <c r="C36" s="6"/>
      <c r="D36" s="6" t="s">
        <v>2241</v>
      </c>
      <c r="E36" s="6" t="s">
        <v>2242</v>
      </c>
      <c r="F36" s="6" t="s">
        <v>2243</v>
      </c>
      <c r="G36" s="6"/>
      <c r="H36" s="6" t="s">
        <v>2244</v>
      </c>
      <c r="I36" s="6" t="s">
        <v>1324</v>
      </c>
      <c r="J36" s="18" t="str">
        <f>"30047"</f>
        <v>30047</v>
      </c>
      <c r="K36" s="6"/>
      <c r="L36" s="6" t="s">
        <v>22</v>
      </c>
      <c r="M36" s="6" t="s">
        <v>2245</v>
      </c>
      <c r="N36" s="7" t="s">
        <v>2246</v>
      </c>
    </row>
    <row r="37" spans="1:14" ht="15" x14ac:dyDescent="0.25">
      <c r="A37" s="18" t="s">
        <v>748</v>
      </c>
      <c r="B37" s="18" t="s">
        <v>1080</v>
      </c>
      <c r="C37" s="6"/>
      <c r="D37" s="6" t="s">
        <v>1077</v>
      </c>
      <c r="E37" s="6" t="s">
        <v>64</v>
      </c>
      <c r="F37" s="6" t="s">
        <v>1081</v>
      </c>
      <c r="G37" s="6" t="s">
        <v>1082</v>
      </c>
      <c r="H37" s="6" t="s">
        <v>1079</v>
      </c>
      <c r="I37" s="6" t="s">
        <v>373</v>
      </c>
      <c r="J37" s="18" t="str">
        <f>"55101-5150"</f>
        <v>55101-5150</v>
      </c>
      <c r="K37" s="6"/>
      <c r="L37" s="6" t="s">
        <v>22</v>
      </c>
      <c r="M37" s="6" t="s">
        <v>1083</v>
      </c>
      <c r="N37" s="7" t="s">
        <v>1084</v>
      </c>
    </row>
    <row r="38" spans="1:14" ht="15" x14ac:dyDescent="0.25">
      <c r="A38" s="18" t="s">
        <v>3530</v>
      </c>
      <c r="B38" s="18" t="s">
        <v>3531</v>
      </c>
      <c r="C38" s="6"/>
      <c r="D38" s="6" t="s">
        <v>3536</v>
      </c>
      <c r="E38" s="6"/>
      <c r="F38" s="6" t="s">
        <v>3532</v>
      </c>
      <c r="G38" s="6" t="s">
        <v>3537</v>
      </c>
      <c r="H38" s="6" t="s">
        <v>3533</v>
      </c>
      <c r="I38" s="6" t="s">
        <v>49</v>
      </c>
      <c r="J38" s="25" t="s">
        <v>3534</v>
      </c>
      <c r="K38" s="6"/>
      <c r="L38" s="6" t="s">
        <v>22</v>
      </c>
      <c r="M38" s="6" t="s">
        <v>3535</v>
      </c>
      <c r="N38" s="8" t="s">
        <v>3538</v>
      </c>
    </row>
    <row r="39" spans="1:14" ht="15" x14ac:dyDescent="0.25">
      <c r="A39" s="18" t="s">
        <v>959</v>
      </c>
      <c r="B39" s="18" t="s">
        <v>1280</v>
      </c>
      <c r="C39" s="6"/>
      <c r="D39" s="6" t="s">
        <v>298</v>
      </c>
      <c r="E39" s="6" t="s">
        <v>862</v>
      </c>
      <c r="F39" s="6" t="s">
        <v>299</v>
      </c>
      <c r="G39" s="6"/>
      <c r="H39" s="6" t="s">
        <v>300</v>
      </c>
      <c r="I39" s="6" t="s">
        <v>301</v>
      </c>
      <c r="J39" s="18" t="str">
        <f>"19903-1321"</f>
        <v>19903-1321</v>
      </c>
      <c r="K39" s="6"/>
      <c r="L39" s="6" t="s">
        <v>22</v>
      </c>
      <c r="M39" s="6" t="s">
        <v>2940</v>
      </c>
      <c r="N39" s="7" t="s">
        <v>1281</v>
      </c>
    </row>
    <row r="40" spans="1:14" ht="15" x14ac:dyDescent="0.25">
      <c r="A40" s="18" t="s">
        <v>14</v>
      </c>
      <c r="B40" s="18" t="s">
        <v>15</v>
      </c>
      <c r="C40" s="6" t="s">
        <v>16</v>
      </c>
      <c r="D40" s="6" t="s">
        <v>17</v>
      </c>
      <c r="E40" s="6" t="s">
        <v>18</v>
      </c>
      <c r="F40" s="6" t="s">
        <v>19</v>
      </c>
      <c r="G40" s="6"/>
      <c r="H40" s="6" t="s">
        <v>20</v>
      </c>
      <c r="I40" s="6" t="s">
        <v>21</v>
      </c>
      <c r="J40" s="18" t="str">
        <f>"21842"</f>
        <v>21842</v>
      </c>
      <c r="K40" s="6"/>
      <c r="L40" s="6" t="s">
        <v>22</v>
      </c>
      <c r="M40" s="6" t="s">
        <v>23</v>
      </c>
      <c r="N40" s="7" t="s">
        <v>24</v>
      </c>
    </row>
    <row r="41" spans="1:14" ht="15" x14ac:dyDescent="0.25">
      <c r="A41" s="18" t="s">
        <v>1820</v>
      </c>
      <c r="B41" s="18" t="s">
        <v>1821</v>
      </c>
      <c r="C41" s="6"/>
      <c r="D41" s="6" t="s">
        <v>1790</v>
      </c>
      <c r="E41" s="6" t="s">
        <v>1822</v>
      </c>
      <c r="F41" s="6" t="s">
        <v>1816</v>
      </c>
      <c r="G41" s="6" t="s">
        <v>1817</v>
      </c>
      <c r="H41" s="6" t="s">
        <v>1793</v>
      </c>
      <c r="I41" s="6" t="s">
        <v>76</v>
      </c>
      <c r="J41" s="18" t="str">
        <f>"76708"</f>
        <v>76708</v>
      </c>
      <c r="K41" s="6"/>
      <c r="L41" s="6" t="s">
        <v>22</v>
      </c>
      <c r="M41" s="6" t="s">
        <v>1823</v>
      </c>
      <c r="N41" s="7" t="s">
        <v>1824</v>
      </c>
    </row>
    <row r="42" spans="1:14" ht="15" x14ac:dyDescent="0.25">
      <c r="A42" s="18" t="s">
        <v>767</v>
      </c>
      <c r="B42" s="18" t="s">
        <v>2471</v>
      </c>
      <c r="C42" s="6"/>
      <c r="D42" s="6" t="s">
        <v>2472</v>
      </c>
      <c r="E42" s="6" t="s">
        <v>2473</v>
      </c>
      <c r="F42" s="6" t="s">
        <v>2474</v>
      </c>
      <c r="G42" s="6"/>
      <c r="H42" s="6" t="s">
        <v>1638</v>
      </c>
      <c r="I42" s="6" t="s">
        <v>486</v>
      </c>
      <c r="J42" s="18" t="str">
        <f>"85007"</f>
        <v>85007</v>
      </c>
      <c r="K42" s="6"/>
      <c r="L42" s="6" t="s">
        <v>22</v>
      </c>
      <c r="M42" s="6" t="s">
        <v>2475</v>
      </c>
      <c r="N42" s="7" t="s">
        <v>2476</v>
      </c>
    </row>
    <row r="43" spans="1:14" ht="15" x14ac:dyDescent="0.25">
      <c r="A43" s="18" t="s">
        <v>157</v>
      </c>
      <c r="B43" s="18" t="s">
        <v>1155</v>
      </c>
      <c r="C43" s="6"/>
      <c r="D43" s="6" t="s">
        <v>1156</v>
      </c>
      <c r="E43" s="6"/>
      <c r="F43" s="6" t="s">
        <v>1157</v>
      </c>
      <c r="G43" s="6"/>
      <c r="H43" s="6" t="s">
        <v>153</v>
      </c>
      <c r="I43" s="6" t="s">
        <v>154</v>
      </c>
      <c r="J43" s="18" t="str">
        <f>"46140"</f>
        <v>46140</v>
      </c>
      <c r="K43" s="6"/>
      <c r="L43" s="6" t="s">
        <v>22</v>
      </c>
      <c r="M43" s="6" t="s">
        <v>1158</v>
      </c>
      <c r="N43" s="7" t="s">
        <v>1159</v>
      </c>
    </row>
    <row r="44" spans="1:14" ht="15" x14ac:dyDescent="0.25">
      <c r="A44" s="18" t="s">
        <v>1273</v>
      </c>
      <c r="B44" s="18" t="s">
        <v>1274</v>
      </c>
      <c r="C44" s="6"/>
      <c r="D44" s="6" t="s">
        <v>1275</v>
      </c>
      <c r="E44" s="6"/>
      <c r="F44" s="6" t="s">
        <v>1276</v>
      </c>
      <c r="G44" s="6" t="s">
        <v>1277</v>
      </c>
      <c r="H44" s="6" t="s">
        <v>1042</v>
      </c>
      <c r="I44" s="6" t="s">
        <v>242</v>
      </c>
      <c r="J44" s="18" t="str">
        <f>"32312"</f>
        <v>32312</v>
      </c>
      <c r="K44" s="6"/>
      <c r="L44" s="6" t="s">
        <v>22</v>
      </c>
      <c r="M44" s="6" t="s">
        <v>1278</v>
      </c>
      <c r="N44" s="7" t="s">
        <v>1279</v>
      </c>
    </row>
    <row r="45" spans="1:14" ht="15" x14ac:dyDescent="0.25">
      <c r="A45" s="18" t="s">
        <v>1445</v>
      </c>
      <c r="B45" s="18" t="s">
        <v>1446</v>
      </c>
      <c r="C45" s="6"/>
      <c r="D45" s="6" t="s">
        <v>1438</v>
      </c>
      <c r="E45" s="6" t="s">
        <v>64</v>
      </c>
      <c r="F45" s="6" t="s">
        <v>1440</v>
      </c>
      <c r="G45" s="6" t="s">
        <v>1441</v>
      </c>
      <c r="H45" s="6" t="s">
        <v>1442</v>
      </c>
      <c r="I45" s="6" t="s">
        <v>1324</v>
      </c>
      <c r="J45" s="18" t="str">
        <f>"30334"</f>
        <v>30334</v>
      </c>
      <c r="K45" s="6"/>
      <c r="L45" s="6" t="s">
        <v>22</v>
      </c>
      <c r="M45" s="6" t="s">
        <v>1447</v>
      </c>
      <c r="N45" s="7" t="s">
        <v>1448</v>
      </c>
    </row>
    <row r="46" spans="1:14" ht="15" x14ac:dyDescent="0.25">
      <c r="A46" s="18" t="s">
        <v>1228</v>
      </c>
      <c r="B46" s="18" t="s">
        <v>1229</v>
      </c>
      <c r="C46" s="6"/>
      <c r="D46" s="6" t="s">
        <v>1222</v>
      </c>
      <c r="E46" s="6" t="s">
        <v>534</v>
      </c>
      <c r="F46" s="6" t="s">
        <v>1224</v>
      </c>
      <c r="G46" s="6"/>
      <c r="H46" s="6" t="s">
        <v>1225</v>
      </c>
      <c r="I46" s="6" t="s">
        <v>172</v>
      </c>
      <c r="J46" s="18" t="str">
        <f>"41501"</f>
        <v>41501</v>
      </c>
      <c r="K46" s="6"/>
      <c r="L46" s="6" t="s">
        <v>22</v>
      </c>
      <c r="M46" s="6" t="s">
        <v>1226</v>
      </c>
      <c r="N46" s="7" t="s">
        <v>1230</v>
      </c>
    </row>
    <row r="47" spans="1:14" ht="15" x14ac:dyDescent="0.25">
      <c r="A47" s="18" t="s">
        <v>480</v>
      </c>
      <c r="B47" s="18" t="s">
        <v>481</v>
      </c>
      <c r="C47" s="6"/>
      <c r="D47" s="6" t="s">
        <v>467</v>
      </c>
      <c r="E47" s="6" t="s">
        <v>482</v>
      </c>
      <c r="F47" s="6" t="s">
        <v>483</v>
      </c>
      <c r="G47" s="6" t="s">
        <v>484</v>
      </c>
      <c r="H47" s="6" t="s">
        <v>485</v>
      </c>
      <c r="I47" s="6" t="s">
        <v>486</v>
      </c>
      <c r="J47" s="18" t="str">
        <f>"85226"</f>
        <v>85226</v>
      </c>
      <c r="K47" s="6"/>
      <c r="L47" s="6" t="s">
        <v>22</v>
      </c>
      <c r="M47" s="6" t="s">
        <v>487</v>
      </c>
      <c r="N47" s="7" t="s">
        <v>488</v>
      </c>
    </row>
    <row r="48" spans="1:14" ht="15" x14ac:dyDescent="0.25">
      <c r="A48" s="18" t="s">
        <v>236</v>
      </c>
      <c r="B48" s="18" t="s">
        <v>2766</v>
      </c>
      <c r="C48" s="6"/>
      <c r="D48" s="6" t="s">
        <v>2767</v>
      </c>
      <c r="E48" s="6" t="s">
        <v>2768</v>
      </c>
      <c r="F48" s="6" t="s">
        <v>2769</v>
      </c>
      <c r="G48" s="6"/>
      <c r="H48" s="6" t="s">
        <v>2770</v>
      </c>
      <c r="I48" s="6" t="s">
        <v>118</v>
      </c>
      <c r="J48" s="18" t="str">
        <f>"48109-2150"</f>
        <v>48109-2150</v>
      </c>
      <c r="K48" s="6"/>
      <c r="L48" s="6" t="s">
        <v>22</v>
      </c>
      <c r="M48" s="6" t="s">
        <v>2771</v>
      </c>
      <c r="N48" s="7" t="s">
        <v>2772</v>
      </c>
    </row>
    <row r="49" spans="1:14" ht="15" x14ac:dyDescent="0.25">
      <c r="A49" s="18" t="s">
        <v>2154</v>
      </c>
      <c r="B49" s="18" t="s">
        <v>2155</v>
      </c>
      <c r="C49" s="6"/>
      <c r="D49" s="6" t="s">
        <v>2156</v>
      </c>
      <c r="E49" s="6" t="s">
        <v>2157</v>
      </c>
      <c r="F49" s="6" t="s">
        <v>2158</v>
      </c>
      <c r="G49" s="6" t="s">
        <v>2159</v>
      </c>
      <c r="H49" s="6" t="s">
        <v>2160</v>
      </c>
      <c r="I49" s="6" t="s">
        <v>128</v>
      </c>
      <c r="J49" s="18" t="str">
        <f>"90095-1656"</f>
        <v>90095-1656</v>
      </c>
      <c r="K49" s="6"/>
      <c r="L49" s="6" t="s">
        <v>22</v>
      </c>
      <c r="M49" s="6" t="s">
        <v>2161</v>
      </c>
      <c r="N49" s="7" t="s">
        <v>2162</v>
      </c>
    </row>
    <row r="50" spans="1:14" ht="15" x14ac:dyDescent="0.25">
      <c r="A50" s="18" t="s">
        <v>1409</v>
      </c>
      <c r="B50" s="18" t="s">
        <v>2674</v>
      </c>
      <c r="C50" s="6"/>
      <c r="D50" s="6" t="s">
        <v>2675</v>
      </c>
      <c r="E50" s="6" t="s">
        <v>2676</v>
      </c>
      <c r="F50" s="6" t="s">
        <v>2677</v>
      </c>
      <c r="G50" s="6" t="s">
        <v>2678</v>
      </c>
      <c r="H50" s="6" t="s">
        <v>1672</v>
      </c>
      <c r="I50" s="6" t="s">
        <v>1673</v>
      </c>
      <c r="J50" s="18" t="str">
        <f>"66603-3754"</f>
        <v>66603-3754</v>
      </c>
      <c r="K50" s="6"/>
      <c r="L50" s="6" t="s">
        <v>22</v>
      </c>
      <c r="M50" s="6" t="s">
        <v>2679</v>
      </c>
      <c r="N50" s="7" t="s">
        <v>2680</v>
      </c>
    </row>
    <row r="51" spans="1:14" ht="15" x14ac:dyDescent="0.25">
      <c r="A51" s="18" t="s">
        <v>1409</v>
      </c>
      <c r="B51" s="18" t="s">
        <v>1457</v>
      </c>
      <c r="C51" s="6"/>
      <c r="D51" s="6" t="s">
        <v>2266</v>
      </c>
      <c r="E51" s="6" t="s">
        <v>206</v>
      </c>
      <c r="F51" s="6" t="s">
        <v>2267</v>
      </c>
      <c r="G51" s="6"/>
      <c r="H51" s="6" t="s">
        <v>325</v>
      </c>
      <c r="I51" s="6" t="s">
        <v>326</v>
      </c>
      <c r="J51" s="18" t="str">
        <f>"27609"</f>
        <v>27609</v>
      </c>
      <c r="K51" s="6"/>
      <c r="L51" s="6" t="s">
        <v>22</v>
      </c>
      <c r="M51" s="6" t="s">
        <v>2268</v>
      </c>
      <c r="N51" s="8" t="s">
        <v>3431</v>
      </c>
    </row>
    <row r="52" spans="1:14" ht="15" x14ac:dyDescent="0.25">
      <c r="A52" s="18" t="s">
        <v>2252</v>
      </c>
      <c r="B52" s="18" t="s">
        <v>2253</v>
      </c>
      <c r="C52" s="6"/>
      <c r="D52" s="6" t="s">
        <v>2254</v>
      </c>
      <c r="E52" s="6" t="s">
        <v>2255</v>
      </c>
      <c r="F52" s="6" t="s">
        <v>2256</v>
      </c>
      <c r="G52" s="6" t="s">
        <v>2257</v>
      </c>
      <c r="H52" s="6" t="s">
        <v>38</v>
      </c>
      <c r="I52" s="6" t="s">
        <v>39</v>
      </c>
      <c r="J52" s="18" t="str">
        <f>"20004"</f>
        <v>20004</v>
      </c>
      <c r="K52" s="6"/>
      <c r="L52" s="6" t="s">
        <v>22</v>
      </c>
      <c r="M52" s="6" t="s">
        <v>2258</v>
      </c>
      <c r="N52" s="7" t="s">
        <v>2259</v>
      </c>
    </row>
    <row r="53" spans="1:14" ht="15" x14ac:dyDescent="0.25">
      <c r="A53" s="18" t="s">
        <v>194</v>
      </c>
      <c r="B53" s="18" t="s">
        <v>195</v>
      </c>
      <c r="C53" s="6"/>
      <c r="D53" s="6" t="s">
        <v>196</v>
      </c>
      <c r="E53" s="6" t="s">
        <v>197</v>
      </c>
      <c r="F53" s="6" t="s">
        <v>198</v>
      </c>
      <c r="G53" s="6"/>
      <c r="H53" s="6" t="s">
        <v>199</v>
      </c>
      <c r="I53" s="6" t="s">
        <v>200</v>
      </c>
      <c r="J53" s="18" t="str">
        <f>"72204"</f>
        <v>72204</v>
      </c>
      <c r="K53" s="6"/>
      <c r="L53" s="6" t="s">
        <v>22</v>
      </c>
      <c r="M53" s="6" t="s">
        <v>201</v>
      </c>
      <c r="N53" s="7" t="s">
        <v>202</v>
      </c>
    </row>
    <row r="54" spans="1:14" ht="15" x14ac:dyDescent="0.25">
      <c r="A54" s="18" t="s">
        <v>121</v>
      </c>
      <c r="B54" s="18" t="s">
        <v>1099</v>
      </c>
      <c r="C54" s="6"/>
      <c r="D54" s="6" t="s">
        <v>1100</v>
      </c>
      <c r="E54" s="6" t="s">
        <v>290</v>
      </c>
      <c r="F54" s="6" t="s">
        <v>1101</v>
      </c>
      <c r="G54" s="6" t="s">
        <v>1102</v>
      </c>
      <c r="H54" s="6" t="s">
        <v>38</v>
      </c>
      <c r="I54" s="6" t="s">
        <v>39</v>
      </c>
      <c r="J54" s="18" t="str">
        <f>"20005"</f>
        <v>20005</v>
      </c>
      <c r="K54" s="6"/>
      <c r="L54" s="6" t="s">
        <v>22</v>
      </c>
      <c r="M54" s="6" t="s">
        <v>1103</v>
      </c>
      <c r="N54" s="7" t="s">
        <v>1104</v>
      </c>
    </row>
    <row r="55" spans="1:14" ht="15" x14ac:dyDescent="0.25">
      <c r="A55" s="18" t="s">
        <v>1176</v>
      </c>
      <c r="B55" s="18" t="s">
        <v>1177</v>
      </c>
      <c r="C55" s="6"/>
      <c r="D55" s="6" t="s">
        <v>1109</v>
      </c>
      <c r="E55" s="6" t="s">
        <v>1178</v>
      </c>
      <c r="F55" s="6" t="s">
        <v>1179</v>
      </c>
      <c r="G55" s="6"/>
      <c r="H55" s="6" t="s">
        <v>1113</v>
      </c>
      <c r="I55" s="6" t="s">
        <v>1114</v>
      </c>
      <c r="J55" s="18" t="str">
        <f>"17105-2047"</f>
        <v>17105-2047</v>
      </c>
      <c r="K55" s="6"/>
      <c r="L55" s="6" t="s">
        <v>22</v>
      </c>
      <c r="M55" s="6" t="s">
        <v>1180</v>
      </c>
      <c r="N55" s="7" t="s">
        <v>1181</v>
      </c>
    </row>
    <row r="56" spans="1:14" ht="15" x14ac:dyDescent="0.25">
      <c r="A56" s="18" t="s">
        <v>2890</v>
      </c>
      <c r="B56" s="18" t="s">
        <v>2891</v>
      </c>
      <c r="C56" s="6"/>
      <c r="D56" s="6" t="s">
        <v>2892</v>
      </c>
      <c r="E56" s="6" t="s">
        <v>290</v>
      </c>
      <c r="F56" s="6" t="s">
        <v>2893</v>
      </c>
      <c r="G56" s="6"/>
      <c r="H56" s="6" t="s">
        <v>2894</v>
      </c>
      <c r="I56" s="6" t="s">
        <v>560</v>
      </c>
      <c r="J56" s="18" t="str">
        <f>"39060"</f>
        <v>39060</v>
      </c>
      <c r="K56" s="6"/>
      <c r="L56" s="6" t="s">
        <v>22</v>
      </c>
      <c r="M56" s="6" t="s">
        <v>2895</v>
      </c>
      <c r="N56" s="7" t="s">
        <v>2896</v>
      </c>
    </row>
    <row r="57" spans="1:14" ht="15" x14ac:dyDescent="0.25">
      <c r="A57" s="18" t="s">
        <v>1523</v>
      </c>
      <c r="B57" s="18" t="s">
        <v>1524</v>
      </c>
      <c r="C57" s="6"/>
      <c r="D57" s="6" t="s">
        <v>1525</v>
      </c>
      <c r="E57" s="6" t="s">
        <v>270</v>
      </c>
      <c r="F57" s="6" t="s">
        <v>1526</v>
      </c>
      <c r="G57" s="6" t="s">
        <v>646</v>
      </c>
      <c r="H57" s="6" t="s">
        <v>1527</v>
      </c>
      <c r="I57" s="6" t="s">
        <v>30</v>
      </c>
      <c r="J57" s="18" t="str">
        <f>"23236-3657"</f>
        <v>23236-3657</v>
      </c>
      <c r="K57" s="6"/>
      <c r="L57" s="6" t="s">
        <v>22</v>
      </c>
      <c r="M57" s="6" t="s">
        <v>1528</v>
      </c>
      <c r="N57" s="7" t="s">
        <v>1529</v>
      </c>
    </row>
    <row r="58" spans="1:14" ht="15" x14ac:dyDescent="0.25">
      <c r="A58" s="18" t="s">
        <v>2325</v>
      </c>
      <c r="B58" s="18" t="s">
        <v>2326</v>
      </c>
      <c r="C58" s="6"/>
      <c r="D58" s="6" t="s">
        <v>2317</v>
      </c>
      <c r="E58" s="6" t="s">
        <v>2327</v>
      </c>
      <c r="F58" s="6" t="s">
        <v>2318</v>
      </c>
      <c r="G58" s="6"/>
      <c r="H58" s="6" t="s">
        <v>364</v>
      </c>
      <c r="I58" s="6" t="s">
        <v>172</v>
      </c>
      <c r="J58" s="18" t="str">
        <f>"40601"</f>
        <v>40601</v>
      </c>
      <c r="K58" s="6"/>
      <c r="L58" s="6" t="s">
        <v>22</v>
      </c>
      <c r="M58" s="6" t="s">
        <v>2323</v>
      </c>
      <c r="N58" s="7" t="s">
        <v>2328</v>
      </c>
    </row>
    <row r="59" spans="1:14" ht="15" x14ac:dyDescent="0.25">
      <c r="A59" s="18" t="s">
        <v>588</v>
      </c>
      <c r="B59" s="18" t="s">
        <v>597</v>
      </c>
      <c r="C59" s="6"/>
      <c r="D59" s="6" t="s">
        <v>598</v>
      </c>
      <c r="E59" s="6" t="s">
        <v>206</v>
      </c>
      <c r="F59" s="6" t="s">
        <v>599</v>
      </c>
      <c r="G59" s="6"/>
      <c r="H59" s="6" t="s">
        <v>600</v>
      </c>
      <c r="I59" s="6" t="s">
        <v>172</v>
      </c>
      <c r="J59" s="18" t="str">
        <f>"40383"</f>
        <v>40383</v>
      </c>
      <c r="K59" s="6"/>
      <c r="L59" s="6" t="s">
        <v>22</v>
      </c>
      <c r="M59" s="6" t="s">
        <v>601</v>
      </c>
      <c r="N59" s="7" t="s">
        <v>602</v>
      </c>
    </row>
    <row r="60" spans="1:14" ht="15" x14ac:dyDescent="0.25">
      <c r="A60" s="18" t="s">
        <v>53</v>
      </c>
      <c r="B60" s="18" t="s">
        <v>563</v>
      </c>
      <c r="C60" s="6"/>
      <c r="D60" s="6" t="s">
        <v>564</v>
      </c>
      <c r="E60" s="6" t="s">
        <v>206</v>
      </c>
      <c r="F60" s="6" t="s">
        <v>565</v>
      </c>
      <c r="G60" s="6"/>
      <c r="H60" s="6" t="s">
        <v>171</v>
      </c>
      <c r="I60" s="6" t="s">
        <v>172</v>
      </c>
      <c r="J60" s="18" t="str">
        <f>"40031"</f>
        <v>40031</v>
      </c>
      <c r="K60" s="6"/>
      <c r="L60" s="6" t="s">
        <v>22</v>
      </c>
      <c r="M60" s="6" t="s">
        <v>566</v>
      </c>
      <c r="N60" s="7" t="s">
        <v>567</v>
      </c>
    </row>
    <row r="61" spans="1:14" ht="15" x14ac:dyDescent="0.25">
      <c r="A61" s="18" t="s">
        <v>932</v>
      </c>
      <c r="B61" s="18" t="s">
        <v>933</v>
      </c>
      <c r="C61" s="6"/>
      <c r="D61" s="6" t="s">
        <v>63</v>
      </c>
      <c r="E61" s="6" t="s">
        <v>934</v>
      </c>
      <c r="F61" s="6" t="s">
        <v>931</v>
      </c>
      <c r="G61" s="6"/>
      <c r="H61" s="6" t="s">
        <v>67</v>
      </c>
      <c r="I61" s="6" t="s">
        <v>68</v>
      </c>
      <c r="J61" s="18" t="str">
        <f>"02116"</f>
        <v>02116</v>
      </c>
      <c r="K61" s="6"/>
      <c r="L61" s="6" t="s">
        <v>22</v>
      </c>
      <c r="M61" s="6" t="s">
        <v>935</v>
      </c>
      <c r="N61" s="7" t="s">
        <v>936</v>
      </c>
    </row>
    <row r="62" spans="1:14" ht="15" x14ac:dyDescent="0.25">
      <c r="A62" s="18" t="s">
        <v>1634</v>
      </c>
      <c r="B62" s="18" t="s">
        <v>2845</v>
      </c>
      <c r="C62" s="6"/>
      <c r="D62" s="6" t="s">
        <v>2846</v>
      </c>
      <c r="E62" s="6" t="s">
        <v>2847</v>
      </c>
      <c r="F62" s="6" t="s">
        <v>2848</v>
      </c>
      <c r="G62" s="6"/>
      <c r="H62" s="6" t="s">
        <v>1206</v>
      </c>
      <c r="I62" s="6" t="s">
        <v>462</v>
      </c>
      <c r="J62" s="18" t="str">
        <f>"29602"</f>
        <v>29602</v>
      </c>
      <c r="K62" s="6"/>
      <c r="L62" s="6" t="s">
        <v>22</v>
      </c>
      <c r="M62" s="6" t="s">
        <v>2849</v>
      </c>
      <c r="N62" s="7" t="s">
        <v>2850</v>
      </c>
    </row>
    <row r="63" spans="1:14" ht="15" x14ac:dyDescent="0.25">
      <c r="A63" s="18" t="s">
        <v>448</v>
      </c>
      <c r="B63" s="18" t="s">
        <v>449</v>
      </c>
      <c r="C63" s="6"/>
      <c r="D63" s="6" t="s">
        <v>450</v>
      </c>
      <c r="E63" s="6" t="s">
        <v>451</v>
      </c>
      <c r="F63" s="6" t="s">
        <v>452</v>
      </c>
      <c r="G63" s="6"/>
      <c r="H63" s="6" t="s">
        <v>453</v>
      </c>
      <c r="I63" s="6" t="s">
        <v>454</v>
      </c>
      <c r="J63" s="18" t="str">
        <f>"61401"</f>
        <v>61401</v>
      </c>
      <c r="K63" s="6"/>
      <c r="L63" s="6" t="s">
        <v>22</v>
      </c>
      <c r="M63" s="6" t="s">
        <v>455</v>
      </c>
      <c r="N63" s="7" t="s">
        <v>456</v>
      </c>
    </row>
    <row r="64" spans="1:14" ht="15" x14ac:dyDescent="0.25">
      <c r="A64" s="18" t="s">
        <v>588</v>
      </c>
      <c r="B64" s="18" t="s">
        <v>1610</v>
      </c>
      <c r="C64" s="6"/>
      <c r="D64" s="6" t="s">
        <v>1611</v>
      </c>
      <c r="E64" s="6" t="s">
        <v>177</v>
      </c>
      <c r="F64" s="6" t="s">
        <v>1612</v>
      </c>
      <c r="G64" s="6"/>
      <c r="H64" s="6" t="s">
        <v>1613</v>
      </c>
      <c r="I64" s="6" t="s">
        <v>301</v>
      </c>
      <c r="J64" s="18" t="str">
        <f>"19934"</f>
        <v>19934</v>
      </c>
      <c r="K64" s="6"/>
      <c r="L64" s="6" t="s">
        <v>22</v>
      </c>
      <c r="M64" s="6" t="s">
        <v>1614</v>
      </c>
      <c r="N64" s="7" t="s">
        <v>1615</v>
      </c>
    </row>
    <row r="65" spans="1:14" ht="15" x14ac:dyDescent="0.25">
      <c r="A65" s="18" t="s">
        <v>947</v>
      </c>
      <c r="B65" s="18" t="s">
        <v>948</v>
      </c>
      <c r="C65" s="6"/>
      <c r="D65" s="6" t="s">
        <v>730</v>
      </c>
      <c r="E65" s="6" t="s">
        <v>949</v>
      </c>
      <c r="F65" s="6" t="s">
        <v>950</v>
      </c>
      <c r="G65" s="6"/>
      <c r="H65" s="6" t="s">
        <v>922</v>
      </c>
      <c r="I65" s="6" t="s">
        <v>454</v>
      </c>
      <c r="J65" s="18" t="str">
        <f>"60143-3201"</f>
        <v>60143-3201</v>
      </c>
      <c r="K65" s="6"/>
      <c r="L65" s="6" t="s">
        <v>22</v>
      </c>
      <c r="M65" s="6" t="s">
        <v>951</v>
      </c>
      <c r="N65" s="7" t="s">
        <v>952</v>
      </c>
    </row>
    <row r="66" spans="1:14" ht="15" x14ac:dyDescent="0.25">
      <c r="A66" s="18" t="s">
        <v>2321</v>
      </c>
      <c r="B66" s="18" t="s">
        <v>2322</v>
      </c>
      <c r="C66" s="6"/>
      <c r="D66" s="6" t="s">
        <v>2317</v>
      </c>
      <c r="E66" s="6" t="s">
        <v>168</v>
      </c>
      <c r="F66" s="6" t="s">
        <v>2318</v>
      </c>
      <c r="G66" s="6"/>
      <c r="H66" s="6" t="s">
        <v>364</v>
      </c>
      <c r="I66" s="6" t="s">
        <v>172</v>
      </c>
      <c r="J66" s="18" t="str">
        <f>"40601"</f>
        <v>40601</v>
      </c>
      <c r="K66" s="6"/>
      <c r="L66" s="6" t="s">
        <v>22</v>
      </c>
      <c r="M66" s="6" t="s">
        <v>2323</v>
      </c>
      <c r="N66" s="7" t="s">
        <v>2324</v>
      </c>
    </row>
    <row r="67" spans="1:14" ht="15" x14ac:dyDescent="0.25">
      <c r="A67" s="18" t="s">
        <v>2194</v>
      </c>
      <c r="B67" s="18" t="s">
        <v>2195</v>
      </c>
      <c r="C67" s="6"/>
      <c r="D67" s="6" t="s">
        <v>1739</v>
      </c>
      <c r="E67" s="6" t="s">
        <v>2196</v>
      </c>
      <c r="F67" s="6" t="s">
        <v>1741</v>
      </c>
      <c r="G67" s="6"/>
      <c r="H67" s="6" t="s">
        <v>1742</v>
      </c>
      <c r="I67" s="6" t="s">
        <v>703</v>
      </c>
      <c r="J67" s="18" t="str">
        <f>"06111"</f>
        <v>06111</v>
      </c>
      <c r="K67" s="6"/>
      <c r="L67" s="6" t="s">
        <v>22</v>
      </c>
      <c r="M67" s="6" t="s">
        <v>2197</v>
      </c>
      <c r="N67" s="7" t="s">
        <v>2198</v>
      </c>
    </row>
    <row r="68" spans="1:14" ht="15" x14ac:dyDescent="0.25">
      <c r="A68" s="18" t="s">
        <v>131</v>
      </c>
      <c r="B68" s="18" t="s">
        <v>132</v>
      </c>
      <c r="C68" s="6"/>
      <c r="D68" s="6" t="s">
        <v>133</v>
      </c>
      <c r="E68" s="6" t="s">
        <v>134</v>
      </c>
      <c r="F68" s="6" t="s">
        <v>135</v>
      </c>
      <c r="G68" s="6"/>
      <c r="H68" s="6" t="s">
        <v>136</v>
      </c>
      <c r="I68" s="6" t="s">
        <v>137</v>
      </c>
      <c r="J68" s="18" t="str">
        <f>"96950"</f>
        <v>96950</v>
      </c>
      <c r="K68" s="6" t="s">
        <v>138</v>
      </c>
      <c r="L68" s="6" t="s">
        <v>22</v>
      </c>
      <c r="M68" s="6" t="s">
        <v>139</v>
      </c>
      <c r="N68" s="7" t="s">
        <v>140</v>
      </c>
    </row>
    <row r="69" spans="1:14" ht="15" x14ac:dyDescent="0.25">
      <c r="A69" s="18" t="s">
        <v>218</v>
      </c>
      <c r="B69" s="18" t="s">
        <v>2185</v>
      </c>
      <c r="C69" s="6"/>
      <c r="D69" s="6" t="s">
        <v>2181</v>
      </c>
      <c r="E69" s="6" t="s">
        <v>739</v>
      </c>
      <c r="F69" s="6" t="s">
        <v>2182</v>
      </c>
      <c r="G69" s="6"/>
      <c r="H69" s="6" t="s">
        <v>2183</v>
      </c>
      <c r="I69" s="6" t="s">
        <v>172</v>
      </c>
      <c r="J69" s="18" t="str">
        <f>"40769"</f>
        <v>40769</v>
      </c>
      <c r="K69" s="6"/>
      <c r="L69" s="6" t="s">
        <v>22</v>
      </c>
      <c r="M69" s="6" t="s">
        <v>2184</v>
      </c>
      <c r="N69" s="7" t="s">
        <v>2186</v>
      </c>
    </row>
    <row r="70" spans="1:14" ht="15" x14ac:dyDescent="0.25">
      <c r="A70" s="18" t="s">
        <v>367</v>
      </c>
      <c r="B70" s="18" t="s">
        <v>368</v>
      </c>
      <c r="C70" s="6"/>
      <c r="D70" s="6" t="s">
        <v>369</v>
      </c>
      <c r="E70" s="6" t="s">
        <v>370</v>
      </c>
      <c r="F70" s="6" t="s">
        <v>371</v>
      </c>
      <c r="G70" s="6"/>
      <c r="H70" s="6" t="s">
        <v>372</v>
      </c>
      <c r="I70" s="6" t="s">
        <v>373</v>
      </c>
      <c r="J70" s="18" t="str">
        <f>"55446-4601"</f>
        <v>55446-4601</v>
      </c>
      <c r="K70" s="6"/>
      <c r="L70" s="6" t="s">
        <v>22</v>
      </c>
      <c r="M70" s="6" t="s">
        <v>374</v>
      </c>
      <c r="N70" s="7" t="s">
        <v>375</v>
      </c>
    </row>
    <row r="71" spans="1:14" ht="15" x14ac:dyDescent="0.25">
      <c r="A71" s="18" t="s">
        <v>1027</v>
      </c>
      <c r="B71" s="18" t="s">
        <v>1028</v>
      </c>
      <c r="C71" s="6"/>
      <c r="D71" s="6" t="s">
        <v>1029</v>
      </c>
      <c r="E71" s="6" t="s">
        <v>1030</v>
      </c>
      <c r="F71" s="6" t="s">
        <v>1031</v>
      </c>
      <c r="G71" s="6"/>
      <c r="H71" s="6" t="s">
        <v>1032</v>
      </c>
      <c r="I71" s="6" t="s">
        <v>172</v>
      </c>
      <c r="J71" s="18" t="str">
        <f>"40351"</f>
        <v>40351</v>
      </c>
      <c r="K71" s="6"/>
      <c r="L71" s="6" t="s">
        <v>22</v>
      </c>
      <c r="M71" s="6" t="s">
        <v>1033</v>
      </c>
      <c r="N71" s="7" t="s">
        <v>1034</v>
      </c>
    </row>
    <row r="72" spans="1:14" ht="15" x14ac:dyDescent="0.25">
      <c r="A72" s="18" t="s">
        <v>287</v>
      </c>
      <c r="B72" s="18" t="s">
        <v>2826</v>
      </c>
      <c r="C72" s="6"/>
      <c r="D72" s="6" t="s">
        <v>2755</v>
      </c>
      <c r="E72" s="6" t="s">
        <v>2827</v>
      </c>
      <c r="F72" s="6" t="s">
        <v>2757</v>
      </c>
      <c r="G72" s="6"/>
      <c r="H72" s="6" t="s">
        <v>1245</v>
      </c>
      <c r="I72" s="6" t="s">
        <v>172</v>
      </c>
      <c r="J72" s="18" t="str">
        <f>"40202"</f>
        <v>40202</v>
      </c>
      <c r="K72" s="6"/>
      <c r="L72" s="6" t="s">
        <v>22</v>
      </c>
      <c r="M72" s="6" t="s">
        <v>2828</v>
      </c>
      <c r="N72" s="7" t="s">
        <v>2829</v>
      </c>
    </row>
    <row r="73" spans="1:14" ht="15" x14ac:dyDescent="0.25">
      <c r="A73" s="18" t="s">
        <v>1805</v>
      </c>
      <c r="B73" s="18" t="s">
        <v>2655</v>
      </c>
      <c r="C73" s="6"/>
      <c r="D73" s="6" t="s">
        <v>2656</v>
      </c>
      <c r="E73" s="6" t="s">
        <v>2657</v>
      </c>
      <c r="F73" s="6" t="s">
        <v>2658</v>
      </c>
      <c r="G73" s="6" t="s">
        <v>1277</v>
      </c>
      <c r="H73" s="6" t="s">
        <v>38</v>
      </c>
      <c r="I73" s="6" t="s">
        <v>39</v>
      </c>
      <c r="J73" s="18" t="str">
        <f>"20003"</f>
        <v>20003</v>
      </c>
      <c r="K73" s="6"/>
      <c r="L73" s="6" t="s">
        <v>22</v>
      </c>
      <c r="M73" s="6" t="s">
        <v>2659</v>
      </c>
      <c r="N73" s="7" t="s">
        <v>2660</v>
      </c>
    </row>
    <row r="74" spans="1:14" ht="15" x14ac:dyDescent="0.25">
      <c r="A74" s="18" t="s">
        <v>1380</v>
      </c>
      <c r="B74" s="18" t="s">
        <v>1374</v>
      </c>
      <c r="C74" s="6"/>
      <c r="D74" s="6" t="s">
        <v>133</v>
      </c>
      <c r="E74" s="6" t="s">
        <v>880</v>
      </c>
      <c r="F74" s="6" t="s">
        <v>135</v>
      </c>
      <c r="G74" s="6" t="s">
        <v>1376</v>
      </c>
      <c r="H74" s="6" t="s">
        <v>136</v>
      </c>
      <c r="I74" s="6" t="s">
        <v>137</v>
      </c>
      <c r="J74" s="18" t="str">
        <f>"96950"</f>
        <v>96950</v>
      </c>
      <c r="K74" s="6" t="s">
        <v>1377</v>
      </c>
      <c r="L74" s="6" t="s">
        <v>22</v>
      </c>
      <c r="M74" s="6" t="s">
        <v>1381</v>
      </c>
      <c r="N74" s="7" t="s">
        <v>1382</v>
      </c>
    </row>
    <row r="75" spans="1:14" ht="15" x14ac:dyDescent="0.25">
      <c r="A75" s="18" t="s">
        <v>1373</v>
      </c>
      <c r="B75" s="18" t="s">
        <v>1374</v>
      </c>
      <c r="C75" s="6"/>
      <c r="D75" s="6" t="s">
        <v>133</v>
      </c>
      <c r="E75" s="6" t="s">
        <v>1375</v>
      </c>
      <c r="F75" s="6" t="s">
        <v>135</v>
      </c>
      <c r="G75" s="6" t="s">
        <v>1376</v>
      </c>
      <c r="H75" s="6" t="s">
        <v>136</v>
      </c>
      <c r="I75" s="6" t="s">
        <v>137</v>
      </c>
      <c r="J75" s="18" t="str">
        <f>"96950"</f>
        <v>96950</v>
      </c>
      <c r="K75" s="6" t="s">
        <v>1377</v>
      </c>
      <c r="L75" s="6" t="s">
        <v>22</v>
      </c>
      <c r="M75" s="6" t="s">
        <v>1378</v>
      </c>
      <c r="N75" s="7" t="s">
        <v>1379</v>
      </c>
    </row>
    <row r="76" spans="1:14" ht="15" x14ac:dyDescent="0.25">
      <c r="A76" s="18" t="s">
        <v>833</v>
      </c>
      <c r="B76" s="18" t="s">
        <v>834</v>
      </c>
      <c r="C76" s="6"/>
      <c r="D76" s="6" t="s">
        <v>835</v>
      </c>
      <c r="E76" s="6" t="s">
        <v>836</v>
      </c>
      <c r="F76" s="6" t="s">
        <v>837</v>
      </c>
      <c r="G76" s="6"/>
      <c r="H76" s="6" t="s">
        <v>838</v>
      </c>
      <c r="I76" s="6" t="s">
        <v>21</v>
      </c>
      <c r="J76" s="18" t="str">
        <f>"20650"</f>
        <v>20650</v>
      </c>
      <c r="K76" s="6"/>
      <c r="L76" s="6" t="s">
        <v>22</v>
      </c>
      <c r="M76" s="6" t="s">
        <v>839</v>
      </c>
      <c r="N76" s="7" t="s">
        <v>840</v>
      </c>
    </row>
    <row r="77" spans="1:14" ht="15" x14ac:dyDescent="0.25">
      <c r="A77" s="18" t="s">
        <v>474</v>
      </c>
      <c r="B77" s="18" t="s">
        <v>2227</v>
      </c>
      <c r="C77" s="6"/>
      <c r="D77" s="6" t="s">
        <v>2228</v>
      </c>
      <c r="E77" s="6" t="s">
        <v>2229</v>
      </c>
      <c r="F77" s="6" t="s">
        <v>2230</v>
      </c>
      <c r="G77" s="6"/>
      <c r="H77" s="6" t="s">
        <v>874</v>
      </c>
      <c r="I77" s="6" t="s">
        <v>875</v>
      </c>
      <c r="J77" s="18" t="str">
        <f>"37221"</f>
        <v>37221</v>
      </c>
      <c r="K77" s="6"/>
      <c r="L77" s="6" t="s">
        <v>22</v>
      </c>
      <c r="M77" s="6" t="s">
        <v>2231</v>
      </c>
      <c r="N77" s="7" t="s">
        <v>2232</v>
      </c>
    </row>
    <row r="78" spans="1:14" ht="15" x14ac:dyDescent="0.25">
      <c r="A78" s="18" t="s">
        <v>2613</v>
      </c>
      <c r="B78" s="18" t="s">
        <v>2614</v>
      </c>
      <c r="C78" s="6"/>
      <c r="D78" s="6" t="s">
        <v>1725</v>
      </c>
      <c r="E78" s="6" t="s">
        <v>2604</v>
      </c>
      <c r="F78" s="6" t="s">
        <v>2584</v>
      </c>
      <c r="G78" s="6"/>
      <c r="H78" s="6" t="s">
        <v>364</v>
      </c>
      <c r="I78" s="6" t="s">
        <v>172</v>
      </c>
      <c r="J78" s="18" t="str">
        <f>"40622"</f>
        <v>40622</v>
      </c>
      <c r="K78" s="6"/>
      <c r="L78" s="6" t="s">
        <v>22</v>
      </c>
      <c r="M78" s="6" t="s">
        <v>2591</v>
      </c>
      <c r="N78" s="7" t="s">
        <v>2615</v>
      </c>
    </row>
    <row r="79" spans="1:14" ht="15" x14ac:dyDescent="0.25">
      <c r="A79" s="18" t="s">
        <v>1745</v>
      </c>
      <c r="B79" s="18" t="s">
        <v>3251</v>
      </c>
      <c r="C79" s="6"/>
      <c r="D79" s="6" t="s">
        <v>3252</v>
      </c>
      <c r="E79" s="6" t="s">
        <v>46</v>
      </c>
      <c r="F79" s="6" t="s">
        <v>2017</v>
      </c>
      <c r="G79" s="6"/>
      <c r="H79" s="6" t="s">
        <v>2018</v>
      </c>
      <c r="I79" s="6" t="s">
        <v>703</v>
      </c>
      <c r="J79" s="18" t="str">
        <f>"06518"</f>
        <v>06518</v>
      </c>
      <c r="K79" s="6"/>
      <c r="L79" s="6" t="s">
        <v>22</v>
      </c>
      <c r="M79" s="6" t="s">
        <v>2019</v>
      </c>
      <c r="N79" s="7" t="s">
        <v>2020</v>
      </c>
    </row>
    <row r="80" spans="1:14" ht="15" x14ac:dyDescent="0.25">
      <c r="A80" s="18" t="s">
        <v>1753</v>
      </c>
      <c r="B80" s="18" t="s">
        <v>1996</v>
      </c>
      <c r="C80" s="6"/>
      <c r="D80" s="6" t="s">
        <v>1997</v>
      </c>
      <c r="E80" s="6"/>
      <c r="F80" s="6" t="s">
        <v>1998</v>
      </c>
      <c r="G80" s="6"/>
      <c r="H80" s="6" t="s">
        <v>1903</v>
      </c>
      <c r="I80" s="6" t="s">
        <v>454</v>
      </c>
      <c r="J80" s="18" t="str">
        <f>"60089"</f>
        <v>60089</v>
      </c>
      <c r="K80" s="6"/>
      <c r="L80" s="6" t="s">
        <v>22</v>
      </c>
      <c r="M80" s="6" t="s">
        <v>1999</v>
      </c>
      <c r="N80" s="7" t="s">
        <v>2000</v>
      </c>
    </row>
    <row r="81" spans="1:14" ht="15" x14ac:dyDescent="0.25">
      <c r="A81" s="18" t="s">
        <v>1014</v>
      </c>
      <c r="B81" s="18" t="s">
        <v>2168</v>
      </c>
      <c r="C81" s="6"/>
      <c r="D81" s="6" t="s">
        <v>2169</v>
      </c>
      <c r="E81" s="6" t="s">
        <v>2170</v>
      </c>
      <c r="F81" s="6" t="s">
        <v>2171</v>
      </c>
      <c r="G81" s="6"/>
      <c r="H81" s="6" t="s">
        <v>753</v>
      </c>
      <c r="I81" s="6" t="s">
        <v>754</v>
      </c>
      <c r="J81" s="18" t="str">
        <f>"03301"</f>
        <v>03301</v>
      </c>
      <c r="K81" s="6"/>
      <c r="L81" s="6" t="s">
        <v>22</v>
      </c>
      <c r="M81" s="6" t="s">
        <v>2172</v>
      </c>
      <c r="N81" s="7" t="s">
        <v>2173</v>
      </c>
    </row>
    <row r="82" spans="1:14" ht="15" x14ac:dyDescent="0.25">
      <c r="A82" s="18" t="s">
        <v>304</v>
      </c>
      <c r="B82" s="18" t="s">
        <v>305</v>
      </c>
      <c r="C82" s="6"/>
      <c r="D82" s="6" t="s">
        <v>298</v>
      </c>
      <c r="E82" s="6" t="s">
        <v>277</v>
      </c>
      <c r="F82" s="6" t="s">
        <v>299</v>
      </c>
      <c r="G82" s="6"/>
      <c r="H82" s="6" t="s">
        <v>300</v>
      </c>
      <c r="I82" s="6" t="s">
        <v>301</v>
      </c>
      <c r="J82" s="18" t="str">
        <f>"19903-1321"</f>
        <v>19903-1321</v>
      </c>
      <c r="K82" s="6"/>
      <c r="L82" s="6" t="s">
        <v>22</v>
      </c>
      <c r="M82" s="6" t="s">
        <v>306</v>
      </c>
      <c r="N82" s="7" t="s">
        <v>307</v>
      </c>
    </row>
    <row r="83" spans="1:14" ht="15" x14ac:dyDescent="0.25">
      <c r="A83" s="18" t="s">
        <v>1383</v>
      </c>
      <c r="B83" s="18" t="s">
        <v>3353</v>
      </c>
      <c r="C83" s="6"/>
      <c r="D83" s="6" t="s">
        <v>2208</v>
      </c>
      <c r="E83" s="6" t="s">
        <v>3354</v>
      </c>
      <c r="F83" s="6" t="s">
        <v>3355</v>
      </c>
      <c r="G83" s="6"/>
      <c r="H83" s="6" t="s">
        <v>1355</v>
      </c>
      <c r="I83" s="6" t="s">
        <v>1356</v>
      </c>
      <c r="J83" s="18">
        <v>70806</v>
      </c>
      <c r="K83" s="6"/>
      <c r="L83" s="6" t="s">
        <v>22</v>
      </c>
      <c r="M83" s="6" t="s">
        <v>2211</v>
      </c>
      <c r="N83" s="8" t="s">
        <v>3356</v>
      </c>
    </row>
    <row r="84" spans="1:14" ht="15" x14ac:dyDescent="0.25">
      <c r="A84" s="18" t="s">
        <v>1588</v>
      </c>
      <c r="B84" s="18" t="s">
        <v>1589</v>
      </c>
      <c r="C84" s="6"/>
      <c r="D84" s="6" t="s">
        <v>1590</v>
      </c>
      <c r="E84" s="6" t="s">
        <v>1591</v>
      </c>
      <c r="F84" s="6" t="s">
        <v>1433</v>
      </c>
      <c r="G84" s="6" t="s">
        <v>1434</v>
      </c>
      <c r="H84" s="6" t="s">
        <v>191</v>
      </c>
      <c r="I84" s="6" t="s">
        <v>21</v>
      </c>
      <c r="J84" s="18" t="str">
        <f>"21201"</f>
        <v>21201</v>
      </c>
      <c r="K84" s="6"/>
      <c r="L84" s="6" t="s">
        <v>22</v>
      </c>
      <c r="M84" s="6" t="s">
        <v>1592</v>
      </c>
      <c r="N84" s="8" t="s">
        <v>3316</v>
      </c>
    </row>
    <row r="85" spans="1:14" ht="15" x14ac:dyDescent="0.25">
      <c r="A85" s="18" t="s">
        <v>287</v>
      </c>
      <c r="B85" s="18" t="s">
        <v>288</v>
      </c>
      <c r="C85" s="6"/>
      <c r="D85" s="6" t="s">
        <v>289</v>
      </c>
      <c r="E85" s="6" t="s">
        <v>290</v>
      </c>
      <c r="F85" s="6" t="s">
        <v>291</v>
      </c>
      <c r="G85" s="6" t="s">
        <v>292</v>
      </c>
      <c r="H85" s="6" t="s">
        <v>293</v>
      </c>
      <c r="I85" s="6" t="s">
        <v>49</v>
      </c>
      <c r="J85" s="18" t="str">
        <f>"07927"</f>
        <v>07927</v>
      </c>
      <c r="K85" s="6"/>
      <c r="L85" s="6" t="s">
        <v>22</v>
      </c>
      <c r="M85" s="6" t="s">
        <v>294</v>
      </c>
      <c r="N85" s="7" t="s">
        <v>295</v>
      </c>
    </row>
    <row r="86" spans="1:14" ht="15" x14ac:dyDescent="0.25">
      <c r="A86" s="18" t="s">
        <v>2097</v>
      </c>
      <c r="B86" s="18" t="s">
        <v>2098</v>
      </c>
      <c r="C86" s="6"/>
      <c r="D86" s="6" t="s">
        <v>730</v>
      </c>
      <c r="E86" s="6" t="s">
        <v>2099</v>
      </c>
      <c r="F86" s="6" t="s">
        <v>950</v>
      </c>
      <c r="G86" s="6"/>
      <c r="H86" s="6" t="s">
        <v>922</v>
      </c>
      <c r="I86" s="6" t="s">
        <v>454</v>
      </c>
      <c r="J86" s="18" t="str">
        <f>"60143-3201"</f>
        <v>60143-3201</v>
      </c>
      <c r="K86" s="6"/>
      <c r="L86" s="6" t="s">
        <v>22</v>
      </c>
      <c r="M86" s="6" t="s">
        <v>2100</v>
      </c>
      <c r="N86" s="7" t="s">
        <v>2101</v>
      </c>
    </row>
    <row r="87" spans="1:14" ht="15" x14ac:dyDescent="0.25">
      <c r="A87" s="18" t="s">
        <v>2621</v>
      </c>
      <c r="B87" s="18" t="s">
        <v>2622</v>
      </c>
      <c r="C87" s="6"/>
      <c r="D87" s="6" t="s">
        <v>1725</v>
      </c>
      <c r="E87" s="6"/>
      <c r="F87" s="6" t="s">
        <v>2584</v>
      </c>
      <c r="G87" s="6"/>
      <c r="H87" s="6" t="s">
        <v>364</v>
      </c>
      <c r="I87" s="6" t="s">
        <v>172</v>
      </c>
      <c r="J87" s="18" t="str">
        <f>"40622"</f>
        <v>40622</v>
      </c>
      <c r="K87" s="6"/>
      <c r="L87" s="6" t="s">
        <v>22</v>
      </c>
      <c r="M87" s="6" t="s">
        <v>2623</v>
      </c>
      <c r="N87" s="7" t="s">
        <v>2624</v>
      </c>
    </row>
    <row r="88" spans="1:14" ht="15" x14ac:dyDescent="0.25">
      <c r="A88" s="18" t="s">
        <v>1332</v>
      </c>
      <c r="B88" s="18" t="s">
        <v>2941</v>
      </c>
      <c r="C88" s="6"/>
      <c r="D88" s="6" t="s">
        <v>72</v>
      </c>
      <c r="E88" s="6" t="s">
        <v>2261</v>
      </c>
      <c r="F88" s="6" t="s">
        <v>73</v>
      </c>
      <c r="G88" s="6" t="s">
        <v>74</v>
      </c>
      <c r="H88" s="6" t="s">
        <v>75</v>
      </c>
      <c r="I88" s="6" t="s">
        <v>76</v>
      </c>
      <c r="J88" s="18" t="str">
        <f>"76051-7658"</f>
        <v>76051-7658</v>
      </c>
      <c r="K88" s="6"/>
      <c r="L88" s="6" t="s">
        <v>22</v>
      </c>
      <c r="M88" s="6" t="s">
        <v>2942</v>
      </c>
      <c r="N88" s="7" t="s">
        <v>2943</v>
      </c>
    </row>
    <row r="89" spans="1:14" ht="15" x14ac:dyDescent="0.25">
      <c r="A89" s="18" t="s">
        <v>489</v>
      </c>
      <c r="B89" s="18" t="s">
        <v>528</v>
      </c>
      <c r="C89" s="6"/>
      <c r="D89" s="6" t="s">
        <v>406</v>
      </c>
      <c r="E89" s="6" t="s">
        <v>529</v>
      </c>
      <c r="F89" s="6" t="s">
        <v>409</v>
      </c>
      <c r="G89" s="6" t="s">
        <v>530</v>
      </c>
      <c r="H89" s="6" t="s">
        <v>410</v>
      </c>
      <c r="I89" s="6" t="s">
        <v>264</v>
      </c>
      <c r="J89" s="18" t="str">
        <f>"80222"</f>
        <v>80222</v>
      </c>
      <c r="K89" s="6"/>
      <c r="L89" s="6" t="s">
        <v>22</v>
      </c>
      <c r="M89" s="6" t="s">
        <v>531</v>
      </c>
      <c r="N89" s="7" t="s">
        <v>532</v>
      </c>
    </row>
    <row r="90" spans="1:14" ht="15" x14ac:dyDescent="0.25">
      <c r="A90" s="18" t="s">
        <v>1124</v>
      </c>
      <c r="B90" s="18" t="s">
        <v>1125</v>
      </c>
      <c r="C90" s="6"/>
      <c r="D90" s="6" t="s">
        <v>1126</v>
      </c>
      <c r="E90" s="6" t="s">
        <v>1127</v>
      </c>
      <c r="F90" s="6" t="s">
        <v>1128</v>
      </c>
      <c r="G90" s="6" t="s">
        <v>1129</v>
      </c>
      <c r="H90" s="6" t="s">
        <v>928</v>
      </c>
      <c r="I90" s="6" t="s">
        <v>30</v>
      </c>
      <c r="J90" s="18" t="str">
        <f>"23219"</f>
        <v>23219</v>
      </c>
      <c r="K90" s="6"/>
      <c r="L90" s="6" t="s">
        <v>22</v>
      </c>
      <c r="M90" s="6" t="s">
        <v>1130</v>
      </c>
      <c r="N90" s="7" t="s">
        <v>1131</v>
      </c>
    </row>
    <row r="91" spans="1:14" ht="15" x14ac:dyDescent="0.25">
      <c r="A91" s="18" t="s">
        <v>2128</v>
      </c>
      <c r="B91" s="18" t="s">
        <v>2129</v>
      </c>
      <c r="C91" s="6"/>
      <c r="D91" s="6" t="s">
        <v>2130</v>
      </c>
      <c r="E91" s="6" t="s">
        <v>2131</v>
      </c>
      <c r="F91" s="6" t="s">
        <v>2132</v>
      </c>
      <c r="G91" s="6"/>
      <c r="H91" s="6" t="s">
        <v>2133</v>
      </c>
      <c r="I91" s="6" t="s">
        <v>172</v>
      </c>
      <c r="J91" s="18" t="str">
        <f>"41071"</f>
        <v>41071</v>
      </c>
      <c r="K91" s="6"/>
      <c r="L91" s="6" t="s">
        <v>22</v>
      </c>
      <c r="M91" s="6" t="s">
        <v>2134</v>
      </c>
      <c r="N91" s="7" t="s">
        <v>2135</v>
      </c>
    </row>
    <row r="92" spans="1:14" ht="15" x14ac:dyDescent="0.25">
      <c r="A92" s="18" t="s">
        <v>588</v>
      </c>
      <c r="B92" s="18" t="s">
        <v>2129</v>
      </c>
      <c r="C92" s="6"/>
      <c r="D92" s="6" t="s">
        <v>1725</v>
      </c>
      <c r="E92" s="6" t="s">
        <v>1210</v>
      </c>
      <c r="F92" s="6" t="s">
        <v>2584</v>
      </c>
      <c r="G92" s="6"/>
      <c r="H92" s="6" t="s">
        <v>364</v>
      </c>
      <c r="I92" s="6" t="s">
        <v>172</v>
      </c>
      <c r="J92" s="18" t="str">
        <f>"40622"</f>
        <v>40622</v>
      </c>
      <c r="K92" s="6"/>
      <c r="L92" s="6" t="s">
        <v>22</v>
      </c>
      <c r="M92" s="6" t="s">
        <v>2591</v>
      </c>
      <c r="N92" s="7" t="s">
        <v>2631</v>
      </c>
    </row>
    <row r="93" spans="1:14" ht="15" x14ac:dyDescent="0.25">
      <c r="A93" s="18" t="s">
        <v>1753</v>
      </c>
      <c r="B93" s="18" t="s">
        <v>2091</v>
      </c>
      <c r="C93" s="6" t="s">
        <v>2934</v>
      </c>
      <c r="D93" s="6" t="s">
        <v>2092</v>
      </c>
      <c r="E93" s="6"/>
      <c r="F93" s="6" t="s">
        <v>2093</v>
      </c>
      <c r="G93" s="6"/>
      <c r="H93" s="6" t="s">
        <v>2094</v>
      </c>
      <c r="I93" s="6" t="s">
        <v>172</v>
      </c>
      <c r="J93" s="18" t="str">
        <f>"41071"</f>
        <v>41071</v>
      </c>
      <c r="K93" s="6"/>
      <c r="L93" s="6" t="s">
        <v>22</v>
      </c>
      <c r="M93" s="6" t="s">
        <v>2095</v>
      </c>
      <c r="N93" s="7" t="s">
        <v>2096</v>
      </c>
    </row>
    <row r="94" spans="1:14" ht="15" x14ac:dyDescent="0.25">
      <c r="A94" s="18" t="s">
        <v>631</v>
      </c>
      <c r="B94" s="18" t="s">
        <v>2174</v>
      </c>
      <c r="C94" s="6"/>
      <c r="D94" s="6" t="s">
        <v>827</v>
      </c>
      <c r="E94" s="6" t="s">
        <v>2175</v>
      </c>
      <c r="F94" s="6" t="s">
        <v>2176</v>
      </c>
      <c r="G94" s="6" t="s">
        <v>2177</v>
      </c>
      <c r="H94" s="6" t="s">
        <v>38</v>
      </c>
      <c r="I94" s="6" t="s">
        <v>39</v>
      </c>
      <c r="J94" s="18" t="str">
        <f>"20590"</f>
        <v>20590</v>
      </c>
      <c r="K94" s="6"/>
      <c r="L94" s="6" t="s">
        <v>22</v>
      </c>
      <c r="M94" s="6" t="s">
        <v>2178</v>
      </c>
      <c r="N94" s="7" t="s">
        <v>2179</v>
      </c>
    </row>
    <row r="95" spans="1:14" ht="15" x14ac:dyDescent="0.25">
      <c r="A95" s="18" t="s">
        <v>308</v>
      </c>
      <c r="B95" s="18" t="s">
        <v>1623</v>
      </c>
      <c r="C95" s="6"/>
      <c r="D95" s="6" t="s">
        <v>3272</v>
      </c>
      <c r="E95" s="6" t="s">
        <v>3271</v>
      </c>
      <c r="F95" s="6" t="s">
        <v>1511</v>
      </c>
      <c r="G95" s="6" t="s">
        <v>2934</v>
      </c>
      <c r="H95" s="6" t="s">
        <v>1513</v>
      </c>
      <c r="I95" s="6" t="s">
        <v>1514</v>
      </c>
      <c r="J95" s="18" t="str">
        <f>"50319-0248"</f>
        <v>50319-0248</v>
      </c>
      <c r="K95" s="6"/>
      <c r="L95" s="6" t="s">
        <v>22</v>
      </c>
      <c r="M95" s="6" t="s">
        <v>1624</v>
      </c>
      <c r="N95" s="7" t="s">
        <v>1625</v>
      </c>
    </row>
    <row r="96" spans="1:14" ht="15" x14ac:dyDescent="0.25">
      <c r="A96" s="18" t="s">
        <v>175</v>
      </c>
      <c r="B96" s="18" t="s">
        <v>176</v>
      </c>
      <c r="C96" s="6"/>
      <c r="D96" s="6" t="s">
        <v>167</v>
      </c>
      <c r="E96" s="6" t="s">
        <v>177</v>
      </c>
      <c r="F96" s="6" t="s">
        <v>169</v>
      </c>
      <c r="G96" s="6" t="s">
        <v>170</v>
      </c>
      <c r="H96" s="6" t="s">
        <v>171</v>
      </c>
      <c r="I96" s="6" t="s">
        <v>172</v>
      </c>
      <c r="J96" s="18" t="str">
        <f>"40031"</f>
        <v>40031</v>
      </c>
      <c r="K96" s="6"/>
      <c r="L96" s="6" t="s">
        <v>22</v>
      </c>
      <c r="M96" s="6" t="s">
        <v>173</v>
      </c>
      <c r="N96" s="7" t="s">
        <v>178</v>
      </c>
    </row>
    <row r="97" spans="1:14" ht="15" x14ac:dyDescent="0.25">
      <c r="A97" s="18" t="s">
        <v>3253</v>
      </c>
      <c r="B97" s="18" t="s">
        <v>3246</v>
      </c>
      <c r="C97" s="6"/>
      <c r="D97" s="6" t="s">
        <v>3250</v>
      </c>
      <c r="E97" s="6" t="s">
        <v>3254</v>
      </c>
      <c r="F97" s="6" t="s">
        <v>3255</v>
      </c>
      <c r="G97" s="6"/>
      <c r="H97" s="6" t="s">
        <v>1638</v>
      </c>
      <c r="I97" s="6" t="s">
        <v>486</v>
      </c>
      <c r="J97" s="25" t="s">
        <v>3256</v>
      </c>
      <c r="K97" s="6"/>
      <c r="L97" s="6" t="s">
        <v>22</v>
      </c>
      <c r="M97" s="6" t="s">
        <v>3258</v>
      </c>
      <c r="N97" s="8" t="s">
        <v>3257</v>
      </c>
    </row>
    <row r="98" spans="1:14" ht="15" x14ac:dyDescent="0.25">
      <c r="A98" s="18" t="s">
        <v>157</v>
      </c>
      <c r="B98" s="18" t="s">
        <v>568</v>
      </c>
      <c r="C98" s="6"/>
      <c r="D98" s="6" t="s">
        <v>569</v>
      </c>
      <c r="E98" s="6" t="s">
        <v>206</v>
      </c>
      <c r="F98" s="6" t="s">
        <v>565</v>
      </c>
      <c r="G98" s="6"/>
      <c r="H98" s="6" t="s">
        <v>171</v>
      </c>
      <c r="I98" s="6" t="s">
        <v>172</v>
      </c>
      <c r="J98" s="18" t="str">
        <f>"40031"</f>
        <v>40031</v>
      </c>
      <c r="K98" s="6"/>
      <c r="L98" s="6" t="s">
        <v>22</v>
      </c>
      <c r="M98" s="6" t="s">
        <v>566</v>
      </c>
      <c r="N98" s="7" t="s">
        <v>570</v>
      </c>
    </row>
    <row r="99" spans="1:14" ht="15" x14ac:dyDescent="0.25">
      <c r="A99" s="18" t="s">
        <v>1139</v>
      </c>
      <c r="B99" s="18" t="s">
        <v>1140</v>
      </c>
      <c r="C99" s="6"/>
      <c r="D99" s="6" t="s">
        <v>1141</v>
      </c>
      <c r="E99" s="6" t="s">
        <v>1142</v>
      </c>
      <c r="F99" s="6" t="s">
        <v>1143</v>
      </c>
      <c r="G99" s="6" t="s">
        <v>1144</v>
      </c>
      <c r="H99" s="6" t="s">
        <v>1145</v>
      </c>
      <c r="I99" s="6" t="s">
        <v>1146</v>
      </c>
      <c r="J99" s="18" t="str">
        <f>"97302-1142"</f>
        <v>97302-1142</v>
      </c>
      <c r="K99" s="6"/>
      <c r="L99" s="6" t="s">
        <v>22</v>
      </c>
      <c r="M99" s="6" t="s">
        <v>1147</v>
      </c>
      <c r="N99" s="7" t="s">
        <v>1148</v>
      </c>
    </row>
    <row r="100" spans="1:14" ht="15" x14ac:dyDescent="0.25">
      <c r="A100" s="18" t="s">
        <v>1634</v>
      </c>
      <c r="B100" s="18" t="s">
        <v>2272</v>
      </c>
      <c r="C100" s="6"/>
      <c r="D100" s="6" t="s">
        <v>2266</v>
      </c>
      <c r="E100" s="6" t="s">
        <v>2273</v>
      </c>
      <c r="F100" s="6" t="s">
        <v>2267</v>
      </c>
      <c r="G100" s="6"/>
      <c r="H100" s="6" t="s">
        <v>325</v>
      </c>
      <c r="I100" s="6" t="s">
        <v>326</v>
      </c>
      <c r="J100" s="18" t="str">
        <f>"27609"</f>
        <v>27609</v>
      </c>
      <c r="K100" s="6"/>
      <c r="L100" s="6" t="s">
        <v>22</v>
      </c>
      <c r="M100" s="6" t="s">
        <v>2268</v>
      </c>
      <c r="N100" s="7" t="s">
        <v>2274</v>
      </c>
    </row>
    <row r="101" spans="1:14" ht="15" x14ac:dyDescent="0.25">
      <c r="A101" s="18" t="s">
        <v>1737</v>
      </c>
      <c r="B101" s="18" t="s">
        <v>1738</v>
      </c>
      <c r="C101" s="6" t="s">
        <v>16</v>
      </c>
      <c r="D101" s="6" t="s">
        <v>1739</v>
      </c>
      <c r="E101" s="6" t="s">
        <v>1740</v>
      </c>
      <c r="F101" s="6" t="s">
        <v>1741</v>
      </c>
      <c r="G101" s="6"/>
      <c r="H101" s="6" t="s">
        <v>1742</v>
      </c>
      <c r="I101" s="6" t="s">
        <v>703</v>
      </c>
      <c r="J101" s="18" t="str">
        <f>"06131"</f>
        <v>06131</v>
      </c>
      <c r="K101" s="6"/>
      <c r="L101" s="6" t="s">
        <v>22</v>
      </c>
      <c r="M101" s="6" t="s">
        <v>1743</v>
      </c>
      <c r="N101" s="7" t="s">
        <v>1744</v>
      </c>
    </row>
    <row r="102" spans="1:14" ht="15" x14ac:dyDescent="0.25">
      <c r="A102" s="18" t="s">
        <v>2644</v>
      </c>
      <c r="B102" s="18" t="s">
        <v>2645</v>
      </c>
      <c r="C102" s="6"/>
      <c r="D102" s="6" t="s">
        <v>1725</v>
      </c>
      <c r="E102" s="6" t="s">
        <v>862</v>
      </c>
      <c r="F102" s="6" t="s">
        <v>2646</v>
      </c>
      <c r="G102" s="6"/>
      <c r="H102" s="6" t="s">
        <v>364</v>
      </c>
      <c r="I102" s="6" t="s">
        <v>172</v>
      </c>
      <c r="J102" s="18" t="str">
        <f>"40601"</f>
        <v>40601</v>
      </c>
      <c r="K102" s="6"/>
      <c r="L102" s="6" t="s">
        <v>22</v>
      </c>
      <c r="M102" s="6" t="s">
        <v>2647</v>
      </c>
      <c r="N102" s="7" t="s">
        <v>2648</v>
      </c>
    </row>
    <row r="103" spans="1:14" ht="15" x14ac:dyDescent="0.25">
      <c r="A103" s="18" t="s">
        <v>2602</v>
      </c>
      <c r="B103" s="18" t="s">
        <v>2603</v>
      </c>
      <c r="C103" s="6"/>
      <c r="D103" s="6" t="s">
        <v>1725</v>
      </c>
      <c r="E103" s="6" t="s">
        <v>2604</v>
      </c>
      <c r="F103" s="6" t="s">
        <v>2584</v>
      </c>
      <c r="G103" s="6"/>
      <c r="H103" s="6" t="s">
        <v>364</v>
      </c>
      <c r="I103" s="6" t="s">
        <v>172</v>
      </c>
      <c r="J103" s="18" t="str">
        <f>"40622"</f>
        <v>40622</v>
      </c>
      <c r="K103" s="6"/>
      <c r="L103" s="6" t="s">
        <v>22</v>
      </c>
      <c r="M103" s="6" t="s">
        <v>2591</v>
      </c>
      <c r="N103" s="7" t="s">
        <v>2605</v>
      </c>
    </row>
    <row r="104" spans="1:14" ht="15" x14ac:dyDescent="0.25">
      <c r="A104" s="18" t="s">
        <v>71</v>
      </c>
      <c r="B104" s="18" t="s">
        <v>1538</v>
      </c>
      <c r="C104" s="6"/>
      <c r="D104" s="6" t="s">
        <v>730</v>
      </c>
      <c r="E104" s="6" t="s">
        <v>1539</v>
      </c>
      <c r="F104" s="6" t="s">
        <v>1540</v>
      </c>
      <c r="G104" s="6"/>
      <c r="H104" s="6" t="s">
        <v>38</v>
      </c>
      <c r="I104" s="6" t="s">
        <v>39</v>
      </c>
      <c r="J104" s="18" t="str">
        <f>"20036"</f>
        <v>20036</v>
      </c>
      <c r="K104" s="6"/>
      <c r="L104" s="6" t="s">
        <v>22</v>
      </c>
      <c r="M104" s="6" t="s">
        <v>1541</v>
      </c>
      <c r="N104" s="7" t="s">
        <v>1542</v>
      </c>
    </row>
    <row r="105" spans="1:14" ht="15" x14ac:dyDescent="0.25">
      <c r="A105" s="18" t="s">
        <v>1176</v>
      </c>
      <c r="B105" s="18" t="s">
        <v>1893</v>
      </c>
      <c r="C105" s="6"/>
      <c r="D105" s="6" t="s">
        <v>1888</v>
      </c>
      <c r="E105" s="6" t="s">
        <v>1894</v>
      </c>
      <c r="F105" s="6" t="s">
        <v>1890</v>
      </c>
      <c r="G105" s="6"/>
      <c r="H105" s="6" t="s">
        <v>1245</v>
      </c>
      <c r="I105" s="6" t="s">
        <v>172</v>
      </c>
      <c r="J105" s="18" t="str">
        <f>"40229"</f>
        <v>40229</v>
      </c>
      <c r="K105" s="6"/>
      <c r="L105" s="6" t="s">
        <v>22</v>
      </c>
      <c r="M105" s="6" t="s">
        <v>1891</v>
      </c>
      <c r="N105" s="7" t="s">
        <v>1895</v>
      </c>
    </row>
    <row r="106" spans="1:14" ht="15" x14ac:dyDescent="0.25">
      <c r="A106" s="18" t="s">
        <v>222</v>
      </c>
      <c r="B106" s="18" t="s">
        <v>223</v>
      </c>
      <c r="C106" s="6"/>
      <c r="D106" s="6" t="s">
        <v>224</v>
      </c>
      <c r="E106" s="6" t="s">
        <v>213</v>
      </c>
      <c r="F106" s="6" t="s">
        <v>225</v>
      </c>
      <c r="G106" s="6" t="s">
        <v>226</v>
      </c>
      <c r="H106" s="6" t="s">
        <v>216</v>
      </c>
      <c r="I106" s="6" t="s">
        <v>172</v>
      </c>
      <c r="J106" s="18" t="str">
        <f>"41005"</f>
        <v>41005</v>
      </c>
      <c r="K106" s="6"/>
      <c r="L106" s="6" t="s">
        <v>22</v>
      </c>
      <c r="M106" s="6" t="s">
        <v>217</v>
      </c>
      <c r="N106" s="7" t="s">
        <v>227</v>
      </c>
    </row>
    <row r="107" spans="1:14" ht="15" x14ac:dyDescent="0.25">
      <c r="A107" s="18" t="s">
        <v>932</v>
      </c>
      <c r="B107" s="18" t="s">
        <v>236</v>
      </c>
      <c r="C107" s="6"/>
      <c r="D107" s="6" t="s">
        <v>1725</v>
      </c>
      <c r="E107" s="6" t="s">
        <v>1210</v>
      </c>
      <c r="F107" s="6" t="s">
        <v>2584</v>
      </c>
      <c r="G107" s="6"/>
      <c r="H107" s="6" t="s">
        <v>364</v>
      </c>
      <c r="I107" s="6" t="s">
        <v>172</v>
      </c>
      <c r="J107" s="18" t="str">
        <f>"40622"</f>
        <v>40622</v>
      </c>
      <c r="K107" s="6"/>
      <c r="L107" s="6" t="s">
        <v>22</v>
      </c>
      <c r="M107" s="6" t="s">
        <v>2591</v>
      </c>
      <c r="N107" s="7" t="s">
        <v>2630</v>
      </c>
    </row>
    <row r="108" spans="1:14" ht="15" x14ac:dyDescent="0.25">
      <c r="A108" s="18" t="s">
        <v>1813</v>
      </c>
      <c r="B108" s="18" t="s">
        <v>1814</v>
      </c>
      <c r="C108" s="6"/>
      <c r="D108" s="6" t="s">
        <v>1790</v>
      </c>
      <c r="E108" s="6" t="s">
        <v>1815</v>
      </c>
      <c r="F108" s="6" t="s">
        <v>1816</v>
      </c>
      <c r="G108" s="6" t="s">
        <v>1817</v>
      </c>
      <c r="H108" s="6" t="s">
        <v>1793</v>
      </c>
      <c r="I108" s="6" t="s">
        <v>76</v>
      </c>
      <c r="J108" s="18" t="str">
        <f>"76708"</f>
        <v>76708</v>
      </c>
      <c r="K108" s="6"/>
      <c r="L108" s="6" t="s">
        <v>22</v>
      </c>
      <c r="M108" s="6" t="s">
        <v>1818</v>
      </c>
      <c r="N108" s="7" t="s">
        <v>1819</v>
      </c>
    </row>
    <row r="109" spans="1:14" ht="15" x14ac:dyDescent="0.25">
      <c r="A109" s="18" t="s">
        <v>404</v>
      </c>
      <c r="B109" s="18" t="s">
        <v>405</v>
      </c>
      <c r="C109" s="6"/>
      <c r="D109" s="6" t="s">
        <v>406</v>
      </c>
      <c r="E109" s="6" t="s">
        <v>407</v>
      </c>
      <c r="F109" s="6" t="s">
        <v>408</v>
      </c>
      <c r="G109" s="6" t="s">
        <v>409</v>
      </c>
      <c r="H109" s="6" t="s">
        <v>410</v>
      </c>
      <c r="I109" s="6" t="s">
        <v>264</v>
      </c>
      <c r="J109" s="18" t="str">
        <f>"80222"</f>
        <v>80222</v>
      </c>
      <c r="K109" s="6"/>
      <c r="L109" s="6" t="s">
        <v>22</v>
      </c>
      <c r="M109" s="6" t="s">
        <v>411</v>
      </c>
      <c r="N109" s="7" t="s">
        <v>412</v>
      </c>
    </row>
    <row r="110" spans="1:14" ht="15" x14ac:dyDescent="0.25">
      <c r="A110" s="18" t="s">
        <v>2609</v>
      </c>
      <c r="B110" s="18" t="s">
        <v>2610</v>
      </c>
      <c r="C110" s="6"/>
      <c r="D110" s="6" t="s">
        <v>1725</v>
      </c>
      <c r="E110" s="6" t="s">
        <v>1092</v>
      </c>
      <c r="F110" s="6" t="s">
        <v>2584</v>
      </c>
      <c r="G110" s="6"/>
      <c r="H110" s="6" t="s">
        <v>364</v>
      </c>
      <c r="I110" s="6" t="s">
        <v>172</v>
      </c>
      <c r="J110" s="18" t="str">
        <f>"40622"</f>
        <v>40622</v>
      </c>
      <c r="K110" s="6"/>
      <c r="L110" s="6" t="s">
        <v>22</v>
      </c>
      <c r="M110" s="6" t="s">
        <v>2591</v>
      </c>
      <c r="N110" s="7" t="s">
        <v>2611</v>
      </c>
    </row>
    <row r="111" spans="1:14" ht="15" x14ac:dyDescent="0.25">
      <c r="A111" s="18" t="s">
        <v>1593</v>
      </c>
      <c r="B111" s="18" t="s">
        <v>1594</v>
      </c>
      <c r="C111" s="6"/>
      <c r="D111" s="6" t="s">
        <v>1583</v>
      </c>
      <c r="E111" s="6" t="s">
        <v>1595</v>
      </c>
      <c r="F111" s="6" t="s">
        <v>1596</v>
      </c>
      <c r="G111" s="6"/>
      <c r="H111" s="6" t="s">
        <v>325</v>
      </c>
      <c r="I111" s="6" t="s">
        <v>326</v>
      </c>
      <c r="J111" s="18" t="str">
        <f>"27601"</f>
        <v>27601</v>
      </c>
      <c r="K111" s="6"/>
      <c r="L111" s="6" t="s">
        <v>22</v>
      </c>
      <c r="M111" s="6" t="s">
        <v>1597</v>
      </c>
      <c r="N111" s="7" t="s">
        <v>1598</v>
      </c>
    </row>
    <row r="112" spans="1:14" ht="15" x14ac:dyDescent="0.25">
      <c r="A112" s="18" t="s">
        <v>71</v>
      </c>
      <c r="B112" s="18" t="s">
        <v>1336</v>
      </c>
      <c r="C112" s="6"/>
      <c r="D112" s="6" t="s">
        <v>1337</v>
      </c>
      <c r="E112" s="6" t="s">
        <v>828</v>
      </c>
      <c r="F112" s="6" t="s">
        <v>1338</v>
      </c>
      <c r="G112" s="6"/>
      <c r="H112" s="6" t="s">
        <v>1339</v>
      </c>
      <c r="I112" s="6" t="s">
        <v>997</v>
      </c>
      <c r="J112" s="18" t="str">
        <f>"64106"</f>
        <v>64106</v>
      </c>
      <c r="K112" s="6"/>
      <c r="L112" s="6" t="s">
        <v>22</v>
      </c>
      <c r="M112" s="6" t="s">
        <v>1340</v>
      </c>
      <c r="N112" s="7" t="s">
        <v>1341</v>
      </c>
    </row>
    <row r="113" spans="1:14" ht="15" x14ac:dyDescent="0.25">
      <c r="A113" s="18" t="s">
        <v>878</v>
      </c>
      <c r="B113" s="18" t="s">
        <v>879</v>
      </c>
      <c r="C113" s="6"/>
      <c r="D113" s="6" t="s">
        <v>276</v>
      </c>
      <c r="E113" s="6" t="s">
        <v>880</v>
      </c>
      <c r="F113" s="6" t="s">
        <v>881</v>
      </c>
      <c r="G113" s="6" t="s">
        <v>882</v>
      </c>
      <c r="H113" s="6" t="s">
        <v>279</v>
      </c>
      <c r="I113" s="6" t="s">
        <v>280</v>
      </c>
      <c r="J113" s="18" t="str">
        <f>"98504"</f>
        <v>98504</v>
      </c>
      <c r="K113" s="6"/>
      <c r="L113" s="6" t="s">
        <v>22</v>
      </c>
      <c r="M113" s="6" t="s">
        <v>883</v>
      </c>
      <c r="N113" s="7" t="s">
        <v>884</v>
      </c>
    </row>
    <row r="114" spans="1:14" ht="15" x14ac:dyDescent="0.25">
      <c r="A114" s="18" t="s">
        <v>497</v>
      </c>
      <c r="B114" s="18" t="s">
        <v>498</v>
      </c>
      <c r="C114" s="6"/>
      <c r="D114" s="6" t="s">
        <v>467</v>
      </c>
      <c r="E114" s="6" t="s">
        <v>499</v>
      </c>
      <c r="F114" s="6" t="s">
        <v>500</v>
      </c>
      <c r="G114" s="6" t="s">
        <v>501</v>
      </c>
      <c r="H114" s="6" t="s">
        <v>502</v>
      </c>
      <c r="I114" s="6" t="s">
        <v>118</v>
      </c>
      <c r="J114" s="18" t="str">
        <f>"48236"</f>
        <v>48236</v>
      </c>
      <c r="K114" s="6"/>
      <c r="L114" s="6" t="s">
        <v>22</v>
      </c>
      <c r="M114" s="6" t="s">
        <v>503</v>
      </c>
      <c r="N114" s="7" t="s">
        <v>504</v>
      </c>
    </row>
    <row r="115" spans="1:14" ht="15" x14ac:dyDescent="0.25">
      <c r="A115" s="18" t="s">
        <v>1530</v>
      </c>
      <c r="B115" s="18" t="s">
        <v>2639</v>
      </c>
      <c r="C115" s="6"/>
      <c r="D115" s="6" t="s">
        <v>1725</v>
      </c>
      <c r="E115" s="6" t="s">
        <v>862</v>
      </c>
      <c r="F115" s="6" t="s">
        <v>2640</v>
      </c>
      <c r="G115" s="6"/>
      <c r="H115" s="6" t="s">
        <v>2641</v>
      </c>
      <c r="I115" s="6" t="s">
        <v>172</v>
      </c>
      <c r="J115" s="18" t="str">
        <f>"42721"</f>
        <v>42721</v>
      </c>
      <c r="K115" s="6"/>
      <c r="L115" s="6" t="s">
        <v>22</v>
      </c>
      <c r="M115" s="6" t="s">
        <v>2642</v>
      </c>
      <c r="N115" s="7" t="s">
        <v>2643</v>
      </c>
    </row>
    <row r="116" spans="1:14" ht="15" x14ac:dyDescent="0.25">
      <c r="A116" s="18" t="s">
        <v>1052</v>
      </c>
      <c r="B116" s="18" t="s">
        <v>1053</v>
      </c>
      <c r="C116" s="6"/>
      <c r="D116" s="6" t="s">
        <v>1054</v>
      </c>
      <c r="E116" s="6" t="s">
        <v>27</v>
      </c>
      <c r="F116" s="6" t="s">
        <v>1055</v>
      </c>
      <c r="G116" s="6"/>
      <c r="H116" s="6" t="s">
        <v>1056</v>
      </c>
      <c r="I116" s="6" t="s">
        <v>76</v>
      </c>
      <c r="J116" s="18" t="str">
        <f>"76513"</f>
        <v>76513</v>
      </c>
      <c r="K116" s="6"/>
      <c r="L116" s="6" t="s">
        <v>22</v>
      </c>
      <c r="M116" s="6" t="s">
        <v>1057</v>
      </c>
      <c r="N116" s="7" t="s">
        <v>1058</v>
      </c>
    </row>
    <row r="117" spans="1:14" ht="15" x14ac:dyDescent="0.25">
      <c r="A117" s="18" t="s">
        <v>1289</v>
      </c>
      <c r="B117" s="18" t="s">
        <v>1290</v>
      </c>
      <c r="C117" s="6"/>
      <c r="D117" s="6" t="s">
        <v>1291</v>
      </c>
      <c r="E117" s="6" t="s">
        <v>1292</v>
      </c>
      <c r="F117" s="6" t="s">
        <v>1293</v>
      </c>
      <c r="G117" s="6" t="s">
        <v>1294</v>
      </c>
      <c r="H117" s="6" t="s">
        <v>710</v>
      </c>
      <c r="I117" s="6" t="s">
        <v>86</v>
      </c>
      <c r="J117" s="18" t="str">
        <f>"12228"</f>
        <v>12228</v>
      </c>
      <c r="K117" s="6"/>
      <c r="L117" s="6" t="s">
        <v>22</v>
      </c>
      <c r="M117" s="6" t="s">
        <v>1295</v>
      </c>
      <c r="N117" s="7" t="s">
        <v>1296</v>
      </c>
    </row>
    <row r="118" spans="1:14" ht="15" x14ac:dyDescent="0.25">
      <c r="A118" s="18" t="s">
        <v>422</v>
      </c>
      <c r="B118" s="18" t="s">
        <v>423</v>
      </c>
      <c r="C118" s="6"/>
      <c r="D118" s="6" t="s">
        <v>424</v>
      </c>
      <c r="E118" s="6" t="s">
        <v>425</v>
      </c>
      <c r="F118" s="6" t="s">
        <v>426</v>
      </c>
      <c r="G118" s="6" t="s">
        <v>427</v>
      </c>
      <c r="H118" s="6" t="s">
        <v>428</v>
      </c>
      <c r="I118" s="6" t="s">
        <v>49</v>
      </c>
      <c r="J118" s="18" t="str">
        <f>"07647"</f>
        <v>07647</v>
      </c>
      <c r="K118" s="6"/>
      <c r="L118" s="28" t="s">
        <v>22</v>
      </c>
      <c r="M118" s="6" t="s">
        <v>429</v>
      </c>
      <c r="N118" s="7" t="s">
        <v>430</v>
      </c>
    </row>
    <row r="119" spans="1:14" ht="15" x14ac:dyDescent="0.25">
      <c r="A119" s="18" t="s">
        <v>603</v>
      </c>
      <c r="B119" s="18" t="s">
        <v>891</v>
      </c>
      <c r="C119" s="6"/>
      <c r="D119" s="6" t="s">
        <v>870</v>
      </c>
      <c r="E119" s="6" t="s">
        <v>892</v>
      </c>
      <c r="F119" s="6" t="s">
        <v>893</v>
      </c>
      <c r="G119" s="6"/>
      <c r="H119" s="6" t="s">
        <v>894</v>
      </c>
      <c r="I119" s="6" t="s">
        <v>875</v>
      </c>
      <c r="J119" s="18" t="str">
        <f>"37343"</f>
        <v>37343</v>
      </c>
      <c r="K119" s="6"/>
      <c r="L119" s="6" t="s">
        <v>22</v>
      </c>
      <c r="M119" s="6" t="s">
        <v>895</v>
      </c>
      <c r="N119" s="7" t="s">
        <v>896</v>
      </c>
    </row>
    <row r="120" spans="1:14" ht="15" x14ac:dyDescent="0.25">
      <c r="A120" s="18" t="s">
        <v>2609</v>
      </c>
      <c r="B120" s="18" t="s">
        <v>2865</v>
      </c>
      <c r="C120" s="6"/>
      <c r="D120" s="6" t="s">
        <v>2866</v>
      </c>
      <c r="E120" s="6"/>
      <c r="F120" s="6" t="s">
        <v>852</v>
      </c>
      <c r="G120" s="6"/>
      <c r="H120" s="6" t="s">
        <v>38</v>
      </c>
      <c r="I120" s="6" t="s">
        <v>39</v>
      </c>
      <c r="J120" s="18" t="str">
        <f>"20594"</f>
        <v>20594</v>
      </c>
      <c r="K120" s="6"/>
      <c r="L120" s="6" t="s">
        <v>22</v>
      </c>
      <c r="M120" s="6" t="s">
        <v>2868</v>
      </c>
      <c r="N120" s="7" t="s">
        <v>2869</v>
      </c>
    </row>
    <row r="121" spans="1:14" ht="15" x14ac:dyDescent="0.25">
      <c r="A121" s="18" t="s">
        <v>1359</v>
      </c>
      <c r="B121" s="18" t="s">
        <v>1360</v>
      </c>
      <c r="C121" s="6"/>
      <c r="D121" s="6" t="s">
        <v>1361</v>
      </c>
      <c r="E121" s="6" t="s">
        <v>231</v>
      </c>
      <c r="F121" s="6" t="s">
        <v>1362</v>
      </c>
      <c r="G121" s="6"/>
      <c r="H121" s="6" t="s">
        <v>146</v>
      </c>
      <c r="I121" s="6" t="s">
        <v>147</v>
      </c>
      <c r="J121" s="18" t="str">
        <f>"58504"</f>
        <v>58504</v>
      </c>
      <c r="K121" s="6"/>
      <c r="L121" s="6" t="s">
        <v>22</v>
      </c>
      <c r="M121" s="6" t="s">
        <v>1363</v>
      </c>
      <c r="N121" s="8" t="s">
        <v>3411</v>
      </c>
    </row>
    <row r="122" spans="1:14" ht="15" x14ac:dyDescent="0.25">
      <c r="A122" s="18" t="s">
        <v>1251</v>
      </c>
      <c r="B122" s="18" t="s">
        <v>1252</v>
      </c>
      <c r="C122" s="6"/>
      <c r="D122" s="6" t="s">
        <v>870</v>
      </c>
      <c r="E122" s="6" t="s">
        <v>64</v>
      </c>
      <c r="F122" s="6" t="s">
        <v>1253</v>
      </c>
      <c r="G122" s="6" t="s">
        <v>1254</v>
      </c>
      <c r="H122" s="6" t="s">
        <v>874</v>
      </c>
      <c r="I122" s="6" t="s">
        <v>875</v>
      </c>
      <c r="J122" s="18" t="str">
        <f>"37243-0341"</f>
        <v>37243-0341</v>
      </c>
      <c r="K122" s="6"/>
      <c r="L122" s="6" t="s">
        <v>22</v>
      </c>
      <c r="M122" s="6" t="s">
        <v>889</v>
      </c>
      <c r="N122" s="7" t="s">
        <v>1255</v>
      </c>
    </row>
    <row r="123" spans="1:14" ht="15" x14ac:dyDescent="0.25">
      <c r="A123" s="18" t="s">
        <v>236</v>
      </c>
      <c r="B123" s="18" t="s">
        <v>2903</v>
      </c>
      <c r="C123" s="6"/>
      <c r="D123" s="6" t="s">
        <v>2904</v>
      </c>
      <c r="E123" s="6" t="s">
        <v>206</v>
      </c>
      <c r="F123" s="6" t="s">
        <v>2905</v>
      </c>
      <c r="G123" s="6"/>
      <c r="H123" s="6" t="s">
        <v>2906</v>
      </c>
      <c r="I123" s="6" t="s">
        <v>172</v>
      </c>
      <c r="J123" s="18" t="str">
        <f>"40047"</f>
        <v>40047</v>
      </c>
      <c r="K123" s="6"/>
      <c r="L123" s="6" t="s">
        <v>22</v>
      </c>
      <c r="M123" s="6" t="s">
        <v>2907</v>
      </c>
      <c r="N123" s="7" t="s">
        <v>2908</v>
      </c>
    </row>
    <row r="124" spans="1:14" ht="15" x14ac:dyDescent="0.25">
      <c r="A124" s="18" t="s">
        <v>121</v>
      </c>
      <c r="B124" s="18" t="s">
        <v>3451</v>
      </c>
      <c r="C124" s="6"/>
      <c r="D124" s="6" t="s">
        <v>2928</v>
      </c>
      <c r="E124" s="6"/>
      <c r="F124" s="6" t="s">
        <v>3452</v>
      </c>
      <c r="G124" s="6"/>
      <c r="H124" s="6" t="s">
        <v>3453</v>
      </c>
      <c r="I124" s="6" t="s">
        <v>76</v>
      </c>
      <c r="J124" s="18">
        <v>75068</v>
      </c>
      <c r="K124" s="6"/>
      <c r="L124" s="6" t="s">
        <v>22</v>
      </c>
      <c r="M124" s="6" t="s">
        <v>3454</v>
      </c>
      <c r="N124" s="8" t="s">
        <v>3455</v>
      </c>
    </row>
    <row r="125" spans="1:14" ht="15" x14ac:dyDescent="0.25">
      <c r="A125" s="18" t="s">
        <v>2341</v>
      </c>
      <c r="B125" s="18" t="s">
        <v>2342</v>
      </c>
      <c r="C125" s="6"/>
      <c r="D125" s="6" t="s">
        <v>2317</v>
      </c>
      <c r="E125" s="6" t="s">
        <v>2343</v>
      </c>
      <c r="F125" s="6" t="s">
        <v>2318</v>
      </c>
      <c r="G125" s="6"/>
      <c r="H125" s="6" t="s">
        <v>364</v>
      </c>
      <c r="I125" s="6" t="s">
        <v>172</v>
      </c>
      <c r="J125" s="18" t="str">
        <f>"40601"</f>
        <v>40601</v>
      </c>
      <c r="K125" s="6"/>
      <c r="L125" s="6" t="s">
        <v>22</v>
      </c>
      <c r="M125" s="6" t="s">
        <v>2323</v>
      </c>
      <c r="N125" s="7" t="s">
        <v>2344</v>
      </c>
    </row>
    <row r="126" spans="1:14" ht="15" x14ac:dyDescent="0.25">
      <c r="A126" s="18" t="s">
        <v>2221</v>
      </c>
      <c r="B126" s="18" t="s">
        <v>2222</v>
      </c>
      <c r="C126" s="6"/>
      <c r="D126" s="6" t="s">
        <v>2201</v>
      </c>
      <c r="E126" s="6"/>
      <c r="F126" s="6" t="s">
        <v>2202</v>
      </c>
      <c r="G126" s="6" t="s">
        <v>170</v>
      </c>
      <c r="H126" s="6" t="s">
        <v>38</v>
      </c>
      <c r="I126" s="6" t="s">
        <v>39</v>
      </c>
      <c r="J126" s="18" t="str">
        <f>"20001"</f>
        <v>20001</v>
      </c>
      <c r="K126" s="6"/>
      <c r="L126" s="6" t="s">
        <v>22</v>
      </c>
      <c r="M126" s="6" t="s">
        <v>2214</v>
      </c>
      <c r="N126" s="7" t="s">
        <v>2223</v>
      </c>
    </row>
    <row r="127" spans="1:14" ht="15" x14ac:dyDescent="0.25">
      <c r="A127" s="18" t="s">
        <v>1547</v>
      </c>
      <c r="B127" s="18" t="s">
        <v>1548</v>
      </c>
      <c r="C127" s="6" t="s">
        <v>2934</v>
      </c>
      <c r="D127" s="6" t="s">
        <v>1549</v>
      </c>
      <c r="E127" s="6" t="s">
        <v>1550</v>
      </c>
      <c r="F127" s="6" t="s">
        <v>1551</v>
      </c>
      <c r="G127" s="6" t="s">
        <v>1552</v>
      </c>
      <c r="H127" s="6" t="s">
        <v>647</v>
      </c>
      <c r="I127" s="6" t="s">
        <v>30</v>
      </c>
      <c r="J127" s="18" t="str">
        <f>"22314"</f>
        <v>22314</v>
      </c>
      <c r="K127" s="6"/>
      <c r="L127" s="6" t="s">
        <v>22</v>
      </c>
      <c r="M127" s="6" t="s">
        <v>1553</v>
      </c>
      <c r="N127" s="7" t="s">
        <v>1554</v>
      </c>
    </row>
    <row r="128" spans="1:14" ht="15" x14ac:dyDescent="0.25">
      <c r="A128" s="18" t="s">
        <v>218</v>
      </c>
      <c r="B128" s="18" t="s">
        <v>2793</v>
      </c>
      <c r="C128" s="6"/>
      <c r="D128" s="6" t="s">
        <v>2794</v>
      </c>
      <c r="E128" s="6" t="s">
        <v>168</v>
      </c>
      <c r="F128" s="6" t="s">
        <v>2795</v>
      </c>
      <c r="G128" s="6"/>
      <c r="H128" s="6" t="s">
        <v>2796</v>
      </c>
      <c r="I128" s="6" t="s">
        <v>172</v>
      </c>
      <c r="J128" s="18" t="str">
        <f>"41701"</f>
        <v>41701</v>
      </c>
      <c r="K128" s="6"/>
      <c r="L128" s="6" t="s">
        <v>22</v>
      </c>
      <c r="M128" s="6" t="s">
        <v>2797</v>
      </c>
      <c r="N128" s="7" t="s">
        <v>2798</v>
      </c>
    </row>
    <row r="129" spans="1:14" ht="15" x14ac:dyDescent="0.25">
      <c r="A129" s="18" t="s">
        <v>3362</v>
      </c>
      <c r="B129" s="18" t="s">
        <v>3363</v>
      </c>
      <c r="C129" s="6"/>
      <c r="D129" s="6" t="s">
        <v>3364</v>
      </c>
      <c r="E129" s="6" t="s">
        <v>3365</v>
      </c>
      <c r="F129" s="6" t="s">
        <v>2584</v>
      </c>
      <c r="G129" s="6"/>
      <c r="H129" s="6" t="s">
        <v>364</v>
      </c>
      <c r="I129" s="6" t="s">
        <v>172</v>
      </c>
      <c r="J129" s="18">
        <v>40622</v>
      </c>
      <c r="K129" s="6"/>
      <c r="L129" s="6" t="s">
        <v>22</v>
      </c>
      <c r="M129" s="6" t="s">
        <v>3366</v>
      </c>
      <c r="N129" s="8" t="s">
        <v>3367</v>
      </c>
    </row>
    <row r="130" spans="1:14" ht="15" x14ac:dyDescent="0.25">
      <c r="A130" s="18" t="s">
        <v>465</v>
      </c>
      <c r="B130" s="18" t="s">
        <v>466</v>
      </c>
      <c r="C130" s="6"/>
      <c r="D130" s="6" t="s">
        <v>467</v>
      </c>
      <c r="E130" s="6" t="s">
        <v>468</v>
      </c>
      <c r="F130" s="6" t="s">
        <v>469</v>
      </c>
      <c r="G130" s="6" t="s">
        <v>470</v>
      </c>
      <c r="H130" s="6" t="s">
        <v>471</v>
      </c>
      <c r="I130" s="6" t="s">
        <v>118</v>
      </c>
      <c r="J130" s="18" t="str">
        <f>"48126-2798"</f>
        <v>48126-2798</v>
      </c>
      <c r="K130" s="6"/>
      <c r="L130" s="6" t="s">
        <v>22</v>
      </c>
      <c r="M130" s="6" t="s">
        <v>472</v>
      </c>
      <c r="N130" s="7" t="s">
        <v>473</v>
      </c>
    </row>
    <row r="131" spans="1:14" ht="15" x14ac:dyDescent="0.25">
      <c r="A131" s="18" t="s">
        <v>2632</v>
      </c>
      <c r="B131" s="18" t="s">
        <v>2633</v>
      </c>
      <c r="C131" s="6"/>
      <c r="D131" s="6" t="s">
        <v>1725</v>
      </c>
      <c r="E131" s="6" t="s">
        <v>1210</v>
      </c>
      <c r="F131" s="6" t="s">
        <v>2584</v>
      </c>
      <c r="G131" s="6"/>
      <c r="H131" s="6" t="s">
        <v>364</v>
      </c>
      <c r="I131" s="6" t="s">
        <v>172</v>
      </c>
      <c r="J131" s="18" t="str">
        <f>"40622"</f>
        <v>40622</v>
      </c>
      <c r="K131" s="6"/>
      <c r="L131" s="6" t="s">
        <v>22</v>
      </c>
      <c r="M131" s="6" t="s">
        <v>2591</v>
      </c>
      <c r="N131" s="7" t="s">
        <v>2634</v>
      </c>
    </row>
    <row r="132" spans="1:14" ht="15" x14ac:dyDescent="0.25">
      <c r="A132" s="18" t="s">
        <v>1139</v>
      </c>
      <c r="B132" s="18" t="s">
        <v>2635</v>
      </c>
      <c r="C132" s="6"/>
      <c r="D132" s="6" t="s">
        <v>1725</v>
      </c>
      <c r="E132" s="6" t="s">
        <v>2636</v>
      </c>
      <c r="F132" s="6" t="s">
        <v>2637</v>
      </c>
      <c r="G132" s="6"/>
      <c r="H132" s="6" t="s">
        <v>594</v>
      </c>
      <c r="I132" s="6" t="s">
        <v>172</v>
      </c>
      <c r="J132" s="18" t="str">
        <f>"42701"</f>
        <v>42701</v>
      </c>
      <c r="K132" s="6"/>
      <c r="L132" s="6" t="s">
        <v>22</v>
      </c>
      <c r="M132" s="6" t="s">
        <v>2591</v>
      </c>
      <c r="N132" s="7" t="s">
        <v>2638</v>
      </c>
    </row>
    <row r="133" spans="1:14" ht="15" x14ac:dyDescent="0.25">
      <c r="A133" s="18" t="s">
        <v>474</v>
      </c>
      <c r="B133" s="18" t="s">
        <v>643</v>
      </c>
      <c r="C133" s="6"/>
      <c r="D133" s="6" t="s">
        <v>644</v>
      </c>
      <c r="E133" s="6" t="s">
        <v>64</v>
      </c>
      <c r="F133" s="6" t="s">
        <v>645</v>
      </c>
      <c r="G133" s="6" t="s">
        <v>646</v>
      </c>
      <c r="H133" s="6" t="s">
        <v>647</v>
      </c>
      <c r="I133" s="6" t="s">
        <v>30</v>
      </c>
      <c r="J133" s="18" t="str">
        <f>"22314"</f>
        <v>22314</v>
      </c>
      <c r="K133" s="6"/>
      <c r="L133" s="6" t="s">
        <v>22</v>
      </c>
      <c r="M133" s="6" t="s">
        <v>648</v>
      </c>
      <c r="N133" s="7" t="s">
        <v>649</v>
      </c>
    </row>
    <row r="134" spans="1:14" ht="15" x14ac:dyDescent="0.25">
      <c r="A134" s="18" t="s">
        <v>359</v>
      </c>
      <c r="B134" s="18" t="s">
        <v>360</v>
      </c>
      <c r="C134" s="6"/>
      <c r="D134" s="6" t="s">
        <v>361</v>
      </c>
      <c r="E134" s="6" t="s">
        <v>362</v>
      </c>
      <c r="F134" s="6" t="s">
        <v>363</v>
      </c>
      <c r="G134" s="6"/>
      <c r="H134" s="6" t="s">
        <v>364</v>
      </c>
      <c r="I134" s="6" t="s">
        <v>172</v>
      </c>
      <c r="J134" s="18" t="str">
        <f>"40601"</f>
        <v>40601</v>
      </c>
      <c r="K134" s="6"/>
      <c r="L134" s="6" t="s">
        <v>22</v>
      </c>
      <c r="M134" s="6" t="s">
        <v>365</v>
      </c>
      <c r="N134" s="7" t="s">
        <v>366</v>
      </c>
    </row>
    <row r="135" spans="1:14" ht="15" x14ac:dyDescent="0.25">
      <c r="A135" s="18" t="s">
        <v>658</v>
      </c>
      <c r="B135" s="18" t="s">
        <v>2597</v>
      </c>
      <c r="C135" s="6"/>
      <c r="D135" s="6" t="s">
        <v>1725</v>
      </c>
      <c r="E135" s="6" t="s">
        <v>2343</v>
      </c>
      <c r="F135" s="6" t="s">
        <v>2584</v>
      </c>
      <c r="G135" s="6"/>
      <c r="H135" s="6" t="s">
        <v>364</v>
      </c>
      <c r="I135" s="6" t="s">
        <v>172</v>
      </c>
      <c r="J135" s="18" t="str">
        <f>"40622"</f>
        <v>40622</v>
      </c>
      <c r="K135" s="6"/>
      <c r="L135" s="6" t="s">
        <v>22</v>
      </c>
      <c r="M135" s="6" t="s">
        <v>2591</v>
      </c>
      <c r="N135" s="7" t="s">
        <v>2598</v>
      </c>
    </row>
    <row r="136" spans="1:14" ht="15" x14ac:dyDescent="0.25">
      <c r="A136" s="18" t="s">
        <v>2753</v>
      </c>
      <c r="B136" s="18" t="s">
        <v>2754</v>
      </c>
      <c r="C136" s="6"/>
      <c r="D136" s="6" t="s">
        <v>2755</v>
      </c>
      <c r="E136" s="6" t="s">
        <v>2756</v>
      </c>
      <c r="F136" s="6" t="s">
        <v>2757</v>
      </c>
      <c r="G136" s="6"/>
      <c r="H136" s="6" t="s">
        <v>1245</v>
      </c>
      <c r="I136" s="6" t="s">
        <v>172</v>
      </c>
      <c r="J136" s="18" t="str">
        <f>"40202"</f>
        <v>40202</v>
      </c>
      <c r="K136" s="6"/>
      <c r="L136" s="6" t="s">
        <v>22</v>
      </c>
      <c r="M136" s="6" t="s">
        <v>2758</v>
      </c>
      <c r="N136" s="7" t="s">
        <v>2759</v>
      </c>
    </row>
    <row r="137" spans="1:14" ht="15" x14ac:dyDescent="0.25">
      <c r="A137" s="18" t="s">
        <v>2613</v>
      </c>
      <c r="B137" s="18" t="s">
        <v>3506</v>
      </c>
      <c r="C137" s="6"/>
      <c r="D137" s="6" t="s">
        <v>2299</v>
      </c>
      <c r="E137" s="6" t="s">
        <v>1352</v>
      </c>
      <c r="F137" s="6" t="s">
        <v>3507</v>
      </c>
      <c r="G137" s="6"/>
      <c r="H137" s="6" t="s">
        <v>3508</v>
      </c>
      <c r="I137" s="6" t="s">
        <v>560</v>
      </c>
      <c r="J137" s="18">
        <v>38655</v>
      </c>
      <c r="K137" s="6"/>
      <c r="L137" s="6" t="s">
        <v>22</v>
      </c>
      <c r="M137" s="6" t="s">
        <v>3509</v>
      </c>
      <c r="N137" s="8" t="s">
        <v>3510</v>
      </c>
    </row>
    <row r="138" spans="1:14" ht="15" x14ac:dyDescent="0.25">
      <c r="A138" s="18" t="s">
        <v>1342</v>
      </c>
      <c r="B138" s="18" t="s">
        <v>3280</v>
      </c>
      <c r="C138" s="6"/>
      <c r="D138" s="6" t="s">
        <v>1725</v>
      </c>
      <c r="E138" s="6" t="s">
        <v>3279</v>
      </c>
      <c r="F138" s="6" t="s">
        <v>2649</v>
      </c>
      <c r="G138" s="6"/>
      <c r="H138" s="6" t="s">
        <v>364</v>
      </c>
      <c r="I138" s="6" t="s">
        <v>172</v>
      </c>
      <c r="J138" s="18" t="str">
        <f>"40601"</f>
        <v>40601</v>
      </c>
      <c r="K138" s="6"/>
      <c r="L138" s="6" t="s">
        <v>22</v>
      </c>
      <c r="M138" s="6" t="s">
        <v>2585</v>
      </c>
      <c r="N138" s="8" t="s">
        <v>3281</v>
      </c>
    </row>
    <row r="139" spans="1:14" ht="15" x14ac:dyDescent="0.25">
      <c r="A139" s="18" t="s">
        <v>342</v>
      </c>
      <c r="B139" s="18" t="s">
        <v>2748</v>
      </c>
      <c r="C139" s="6"/>
      <c r="D139" s="6" t="s">
        <v>2749</v>
      </c>
      <c r="E139" s="6" t="s">
        <v>2750</v>
      </c>
      <c r="F139" s="6">
        <v>901</v>
      </c>
      <c r="G139" s="6" t="s">
        <v>2751</v>
      </c>
      <c r="H139" s="6" t="s">
        <v>1245</v>
      </c>
      <c r="I139" s="6" t="s">
        <v>172</v>
      </c>
      <c r="J139" s="18" t="str">
        <f>"40202"</f>
        <v>40202</v>
      </c>
      <c r="K139" s="6"/>
      <c r="L139" s="6" t="s">
        <v>22</v>
      </c>
      <c r="M139" s="6" t="s">
        <v>2936</v>
      </c>
      <c r="N139" s="7" t="s">
        <v>2752</v>
      </c>
    </row>
    <row r="140" spans="1:14" ht="15" x14ac:dyDescent="0.25">
      <c r="A140" s="18" t="s">
        <v>571</v>
      </c>
      <c r="B140" s="18" t="s">
        <v>572</v>
      </c>
      <c r="C140" s="6"/>
      <c r="D140" s="6" t="s">
        <v>573</v>
      </c>
      <c r="E140" s="6" t="s">
        <v>574</v>
      </c>
      <c r="F140" s="6" t="s">
        <v>575</v>
      </c>
      <c r="G140" s="6" t="s">
        <v>576</v>
      </c>
      <c r="H140" s="6" t="s">
        <v>29</v>
      </c>
      <c r="I140" s="6" t="s">
        <v>30</v>
      </c>
      <c r="J140" s="18" t="str">
        <f>"22043-2623"</f>
        <v>22043-2623</v>
      </c>
      <c r="K140" s="6"/>
      <c r="L140" s="6" t="s">
        <v>22</v>
      </c>
      <c r="M140" s="6" t="s">
        <v>577</v>
      </c>
      <c r="N140" s="7" t="s">
        <v>578</v>
      </c>
    </row>
    <row r="141" spans="1:14" ht="15" x14ac:dyDescent="0.25">
      <c r="A141" s="18" t="s">
        <v>157</v>
      </c>
      <c r="B141" s="18" t="s">
        <v>158</v>
      </c>
      <c r="C141" s="6"/>
      <c r="D141" s="6" t="s">
        <v>159</v>
      </c>
      <c r="E141" s="6" t="s">
        <v>160</v>
      </c>
      <c r="F141" s="6" t="s">
        <v>161</v>
      </c>
      <c r="G141" s="6" t="s">
        <v>162</v>
      </c>
      <c r="H141" s="6" t="s">
        <v>38</v>
      </c>
      <c r="I141" s="6" t="s">
        <v>39</v>
      </c>
      <c r="J141" s="18" t="str">
        <f>"20036"</f>
        <v>20036</v>
      </c>
      <c r="K141" s="6"/>
      <c r="L141" s="6" t="s">
        <v>22</v>
      </c>
      <c r="M141" s="6" t="s">
        <v>163</v>
      </c>
      <c r="N141" s="7" t="s">
        <v>164</v>
      </c>
    </row>
    <row r="142" spans="1:14" ht="15" x14ac:dyDescent="0.25">
      <c r="A142" s="18" t="s">
        <v>1718</v>
      </c>
      <c r="B142" s="18" t="s">
        <v>1719</v>
      </c>
      <c r="C142" s="6" t="s">
        <v>2934</v>
      </c>
      <c r="D142" s="6" t="s">
        <v>1106</v>
      </c>
      <c r="E142" s="6" t="s">
        <v>828</v>
      </c>
      <c r="F142" s="6" t="s">
        <v>1720</v>
      </c>
      <c r="G142" s="6" t="s">
        <v>1721</v>
      </c>
      <c r="H142" s="6" t="s">
        <v>1722</v>
      </c>
      <c r="I142" s="6" t="s">
        <v>264</v>
      </c>
      <c r="J142" s="18" t="str">
        <f>"80228"</f>
        <v>80228</v>
      </c>
      <c r="K142" s="6"/>
      <c r="L142" s="6" t="s">
        <v>22</v>
      </c>
      <c r="M142" s="6" t="s">
        <v>1723</v>
      </c>
      <c r="N142" s="7" t="s">
        <v>1724</v>
      </c>
    </row>
    <row r="143" spans="1:14" ht="15" x14ac:dyDescent="0.25">
      <c r="A143" s="18" t="s">
        <v>1001</v>
      </c>
      <c r="B143" s="18" t="s">
        <v>1002</v>
      </c>
      <c r="C143" s="6"/>
      <c r="D143" s="6" t="s">
        <v>276</v>
      </c>
      <c r="E143" s="6" t="s">
        <v>731</v>
      </c>
      <c r="F143" s="6" t="s">
        <v>1003</v>
      </c>
      <c r="G143" s="6" t="s">
        <v>882</v>
      </c>
      <c r="H143" s="6" t="s">
        <v>279</v>
      </c>
      <c r="I143" s="6" t="s">
        <v>280</v>
      </c>
      <c r="J143" s="18" t="str">
        <f>"98501"</f>
        <v>98501</v>
      </c>
      <c r="K143" s="6"/>
      <c r="L143" s="6" t="s">
        <v>22</v>
      </c>
      <c r="M143" s="6" t="s">
        <v>1004</v>
      </c>
      <c r="N143" s="7" t="s">
        <v>1005</v>
      </c>
    </row>
    <row r="144" spans="1:14" ht="15" x14ac:dyDescent="0.25">
      <c r="A144" s="18" t="s">
        <v>1581</v>
      </c>
      <c r="B144" s="18" t="s">
        <v>1700</v>
      </c>
      <c r="C144" s="6"/>
      <c r="D144" s="6" t="s">
        <v>1583</v>
      </c>
      <c r="E144" s="6" t="s">
        <v>677</v>
      </c>
      <c r="F144" s="6" t="s">
        <v>1596</v>
      </c>
      <c r="G144" s="6"/>
      <c r="H144" s="6" t="s">
        <v>325</v>
      </c>
      <c r="I144" s="6" t="s">
        <v>326</v>
      </c>
      <c r="J144" s="18" t="str">
        <f>"27601"</f>
        <v>27601</v>
      </c>
      <c r="K144" s="6"/>
      <c r="L144" s="6" t="s">
        <v>22</v>
      </c>
      <c r="M144" s="6" t="s">
        <v>1701</v>
      </c>
      <c r="N144" s="7" t="s">
        <v>1702</v>
      </c>
    </row>
    <row r="145" spans="1:14" ht="15" x14ac:dyDescent="0.25">
      <c r="A145" s="18" t="s">
        <v>113</v>
      </c>
      <c r="B145" s="18" t="s">
        <v>1555</v>
      </c>
      <c r="C145" s="6"/>
      <c r="D145" s="6" t="s">
        <v>1556</v>
      </c>
      <c r="E145" s="6" t="s">
        <v>731</v>
      </c>
      <c r="F145" s="6" t="s">
        <v>1557</v>
      </c>
      <c r="G145" s="6" t="s">
        <v>292</v>
      </c>
      <c r="H145" s="6" t="s">
        <v>647</v>
      </c>
      <c r="I145" s="6" t="s">
        <v>30</v>
      </c>
      <c r="J145" s="18" t="str">
        <f>"22314"</f>
        <v>22314</v>
      </c>
      <c r="K145" s="6"/>
      <c r="L145" s="6" t="s">
        <v>22</v>
      </c>
      <c r="M145" s="6" t="s">
        <v>1558</v>
      </c>
      <c r="N145" s="7" t="s">
        <v>1559</v>
      </c>
    </row>
    <row r="146" spans="1:14" ht="15" x14ac:dyDescent="0.25">
      <c r="A146" s="18" t="s">
        <v>42</v>
      </c>
      <c r="B146" s="18" t="s">
        <v>43</v>
      </c>
      <c r="C146" s="6" t="s">
        <v>44</v>
      </c>
      <c r="D146" s="6" t="s">
        <v>45</v>
      </c>
      <c r="E146" s="6" t="s">
        <v>46</v>
      </c>
      <c r="F146" s="6" t="s">
        <v>47</v>
      </c>
      <c r="G146" s="6"/>
      <c r="H146" s="6" t="s">
        <v>48</v>
      </c>
      <c r="I146" s="6" t="s">
        <v>49</v>
      </c>
      <c r="J146" s="18" t="str">
        <f>"07840"</f>
        <v>07840</v>
      </c>
      <c r="K146" s="6"/>
      <c r="L146" s="6" t="s">
        <v>22</v>
      </c>
      <c r="M146" s="6" t="s">
        <v>50</v>
      </c>
      <c r="N146" s="7" t="s">
        <v>51</v>
      </c>
    </row>
    <row r="147" spans="1:14" ht="15" x14ac:dyDescent="0.25">
      <c r="A147" s="18" t="s">
        <v>150</v>
      </c>
      <c r="B147" s="18" t="s">
        <v>2599</v>
      </c>
      <c r="C147" s="6"/>
      <c r="D147" s="6" t="s">
        <v>1725</v>
      </c>
      <c r="E147" s="6" t="s">
        <v>2600</v>
      </c>
      <c r="F147" s="6" t="s">
        <v>2584</v>
      </c>
      <c r="G147" s="6"/>
      <c r="H147" s="6" t="s">
        <v>364</v>
      </c>
      <c r="I147" s="6" t="s">
        <v>172</v>
      </c>
      <c r="J147" s="18" t="str">
        <f>"40622"</f>
        <v>40622</v>
      </c>
      <c r="K147" s="6"/>
      <c r="L147" s="6" t="s">
        <v>22</v>
      </c>
      <c r="M147" s="6" t="s">
        <v>2601</v>
      </c>
      <c r="N147" s="8" t="s">
        <v>3432</v>
      </c>
    </row>
    <row r="148" spans="1:14" ht="15" x14ac:dyDescent="0.25">
      <c r="A148" s="18" t="s">
        <v>2494</v>
      </c>
      <c r="B148" s="18" t="s">
        <v>2495</v>
      </c>
      <c r="C148" s="6"/>
      <c r="D148" s="6" t="s">
        <v>2486</v>
      </c>
      <c r="E148" s="6" t="s">
        <v>2496</v>
      </c>
      <c r="F148" s="6" t="s">
        <v>2487</v>
      </c>
      <c r="G148" s="6"/>
      <c r="H148" s="6" t="s">
        <v>1638</v>
      </c>
      <c r="I148" s="6" t="s">
        <v>486</v>
      </c>
      <c r="J148" s="18" t="str">
        <f>"85004"</f>
        <v>85004</v>
      </c>
      <c r="K148" s="6"/>
      <c r="L148" s="6" t="s">
        <v>22</v>
      </c>
      <c r="M148" s="6" t="s">
        <v>2497</v>
      </c>
      <c r="N148" s="7" t="s">
        <v>2498</v>
      </c>
    </row>
    <row r="149" spans="1:14" ht="15" x14ac:dyDescent="0.25">
      <c r="A149" s="18" t="s">
        <v>33</v>
      </c>
      <c r="B149" s="18" t="s">
        <v>34</v>
      </c>
      <c r="C149" s="6"/>
      <c r="D149" s="6" t="s">
        <v>17</v>
      </c>
      <c r="E149" s="6" t="s">
        <v>35</v>
      </c>
      <c r="F149" s="6" t="s">
        <v>36</v>
      </c>
      <c r="G149" s="6" t="s">
        <v>37</v>
      </c>
      <c r="H149" s="6" t="s">
        <v>38</v>
      </c>
      <c r="I149" s="6" t="s">
        <v>39</v>
      </c>
      <c r="J149" s="18" t="str">
        <f>"20001-1534"</f>
        <v>20001-1534</v>
      </c>
      <c r="K149" s="6"/>
      <c r="L149" s="6" t="s">
        <v>22</v>
      </c>
      <c r="M149" s="6" t="s">
        <v>40</v>
      </c>
      <c r="N149" s="7" t="s">
        <v>41</v>
      </c>
    </row>
    <row r="150" spans="1:14" ht="15" x14ac:dyDescent="0.25">
      <c r="A150" s="18" t="s">
        <v>1687</v>
      </c>
      <c r="B150" s="18" t="s">
        <v>3546</v>
      </c>
      <c r="C150" s="6"/>
      <c r="D150" s="6" t="s">
        <v>2117</v>
      </c>
      <c r="E150" s="6" t="s">
        <v>3311</v>
      </c>
      <c r="F150" s="6" t="s">
        <v>3547</v>
      </c>
      <c r="G150" s="6"/>
      <c r="H150" s="6" t="s">
        <v>3548</v>
      </c>
      <c r="I150" s="6" t="s">
        <v>1514</v>
      </c>
      <c r="J150" s="18">
        <v>50322</v>
      </c>
      <c r="K150" s="6"/>
      <c r="L150" s="6" t="s">
        <v>22</v>
      </c>
      <c r="M150" s="6" t="s">
        <v>3549</v>
      </c>
      <c r="N150" s="8" t="s">
        <v>3550</v>
      </c>
    </row>
    <row r="151" spans="1:14" ht="15" x14ac:dyDescent="0.25">
      <c r="A151" s="18" t="s">
        <v>833</v>
      </c>
      <c r="B151" s="18" t="s">
        <v>3524</v>
      </c>
      <c r="C151" s="6"/>
      <c r="D151" s="6" t="s">
        <v>3525</v>
      </c>
      <c r="E151" s="6" t="s">
        <v>290</v>
      </c>
      <c r="F151" s="6" t="s">
        <v>3526</v>
      </c>
      <c r="G151" s="6"/>
      <c r="H151" s="6" t="s">
        <v>3527</v>
      </c>
      <c r="I151" s="6" t="s">
        <v>49</v>
      </c>
      <c r="J151" s="18">
        <v>7410</v>
      </c>
      <c r="K151" s="6"/>
      <c r="L151" s="6" t="s">
        <v>22</v>
      </c>
      <c r="M151" s="6" t="s">
        <v>3528</v>
      </c>
      <c r="N151" s="8" t="s">
        <v>3529</v>
      </c>
    </row>
    <row r="152" spans="1:14" ht="15" x14ac:dyDescent="0.25">
      <c r="A152" s="18" t="s">
        <v>1687</v>
      </c>
      <c r="B152" s="18" t="s">
        <v>2625</v>
      </c>
      <c r="C152" s="6"/>
      <c r="D152" s="6" t="s">
        <v>1725</v>
      </c>
      <c r="E152" s="6" t="s">
        <v>2626</v>
      </c>
      <c r="F152" s="6" t="s">
        <v>2584</v>
      </c>
      <c r="G152" s="6"/>
      <c r="H152" s="6" t="s">
        <v>364</v>
      </c>
      <c r="I152" s="6" t="s">
        <v>172</v>
      </c>
      <c r="J152" s="18" t="str">
        <f>"40622"</f>
        <v>40622</v>
      </c>
      <c r="K152" s="6"/>
      <c r="L152" s="6" t="s">
        <v>22</v>
      </c>
      <c r="M152" s="6" t="s">
        <v>2627</v>
      </c>
      <c r="N152" s="7" t="s">
        <v>2628</v>
      </c>
    </row>
    <row r="153" spans="1:14" ht="15" x14ac:dyDescent="0.25">
      <c r="A153" s="18" t="s">
        <v>1530</v>
      </c>
      <c r="B153" s="18" t="s">
        <v>1531</v>
      </c>
      <c r="C153" s="6"/>
      <c r="D153" s="6" t="s">
        <v>1532</v>
      </c>
      <c r="E153" s="6" t="s">
        <v>828</v>
      </c>
      <c r="F153" s="6" t="s">
        <v>1533</v>
      </c>
      <c r="G153" s="6" t="s">
        <v>1534</v>
      </c>
      <c r="H153" s="6" t="s">
        <v>1535</v>
      </c>
      <c r="I153" s="6" t="s">
        <v>280</v>
      </c>
      <c r="J153" s="18" t="str">
        <f>"98174"</f>
        <v>98174</v>
      </c>
      <c r="K153" s="6"/>
      <c r="L153" s="6" t="s">
        <v>22</v>
      </c>
      <c r="M153" s="6" t="s">
        <v>1536</v>
      </c>
      <c r="N153" s="7" t="s">
        <v>1537</v>
      </c>
    </row>
    <row r="154" spans="1:14" ht="15" x14ac:dyDescent="0.25">
      <c r="A154" s="18" t="s">
        <v>1162</v>
      </c>
      <c r="B154" s="18" t="s">
        <v>1163</v>
      </c>
      <c r="C154" s="6"/>
      <c r="D154" s="6" t="s">
        <v>1164</v>
      </c>
      <c r="E154" s="6" t="s">
        <v>1165</v>
      </c>
      <c r="F154" s="6" t="s">
        <v>1166</v>
      </c>
      <c r="G154" s="6"/>
      <c r="H154" s="6" t="s">
        <v>1167</v>
      </c>
      <c r="I154" s="6" t="s">
        <v>172</v>
      </c>
      <c r="J154" s="18" t="str">
        <f>"42303"</f>
        <v>42303</v>
      </c>
      <c r="K154" s="6"/>
      <c r="L154" s="6" t="s">
        <v>22</v>
      </c>
      <c r="M154" s="6" t="s">
        <v>1168</v>
      </c>
      <c r="N154" s="7" t="s">
        <v>1169</v>
      </c>
    </row>
    <row r="155" spans="1:14" ht="15" x14ac:dyDescent="0.25">
      <c r="A155" s="18" t="s">
        <v>413</v>
      </c>
      <c r="B155" s="18" t="s">
        <v>609</v>
      </c>
      <c r="C155" s="6"/>
      <c r="D155" s="6" t="s">
        <v>581</v>
      </c>
      <c r="E155" s="6" t="s">
        <v>610</v>
      </c>
      <c r="F155" s="6" t="s">
        <v>582</v>
      </c>
      <c r="G155" s="6" t="s">
        <v>583</v>
      </c>
      <c r="H155" s="6" t="s">
        <v>584</v>
      </c>
      <c r="I155" s="6" t="s">
        <v>585</v>
      </c>
      <c r="J155" s="18" t="str">
        <f>"84116"</f>
        <v>84116</v>
      </c>
      <c r="K155" s="6"/>
      <c r="L155" s="6" t="s">
        <v>22</v>
      </c>
      <c r="M155" s="6" t="s">
        <v>611</v>
      </c>
      <c r="N155" s="7" t="s">
        <v>612</v>
      </c>
    </row>
    <row r="156" spans="1:14" ht="15" x14ac:dyDescent="0.25">
      <c r="A156" s="18" t="s">
        <v>150</v>
      </c>
      <c r="B156" s="18" t="s">
        <v>3539</v>
      </c>
      <c r="C156" s="6"/>
      <c r="D156" s="6" t="s">
        <v>3540</v>
      </c>
      <c r="E156" s="6" t="s">
        <v>3541</v>
      </c>
      <c r="F156" s="6" t="s">
        <v>3542</v>
      </c>
      <c r="G156" s="6" t="s">
        <v>3543</v>
      </c>
      <c r="H156" s="6" t="s">
        <v>1834</v>
      </c>
      <c r="I156" s="6" t="s">
        <v>454</v>
      </c>
      <c r="J156" s="18">
        <v>62703</v>
      </c>
      <c r="K156" s="6"/>
      <c r="L156" s="6" t="s">
        <v>22</v>
      </c>
      <c r="M156" s="6" t="s">
        <v>3544</v>
      </c>
      <c r="N156" s="8" t="s">
        <v>3545</v>
      </c>
    </row>
    <row r="157" spans="1:14" ht="15" x14ac:dyDescent="0.25">
      <c r="A157" s="18" t="s">
        <v>402</v>
      </c>
      <c r="B157" s="18" t="s">
        <v>3448</v>
      </c>
      <c r="C157" s="6" t="s">
        <v>2934</v>
      </c>
      <c r="D157" s="6" t="s">
        <v>2305</v>
      </c>
      <c r="E157" s="6" t="s">
        <v>3449</v>
      </c>
      <c r="F157" s="6" t="s">
        <v>2306</v>
      </c>
      <c r="G157" s="6" t="s">
        <v>2307</v>
      </c>
      <c r="H157" s="6" t="s">
        <v>1834</v>
      </c>
      <c r="I157" s="6" t="s">
        <v>454</v>
      </c>
      <c r="J157" s="18" t="str">
        <f>"62764"</f>
        <v>62764</v>
      </c>
      <c r="K157" s="6"/>
      <c r="L157" s="6" t="s">
        <v>22</v>
      </c>
      <c r="M157" s="6" t="s">
        <v>2310</v>
      </c>
      <c r="N157" s="8" t="s">
        <v>3450</v>
      </c>
    </row>
    <row r="158" spans="1:14" ht="15" x14ac:dyDescent="0.25">
      <c r="A158" s="18" t="s">
        <v>932</v>
      </c>
      <c r="B158" s="18" t="s">
        <v>1070</v>
      </c>
      <c r="C158" s="6"/>
      <c r="D158" s="6" t="s">
        <v>1071</v>
      </c>
      <c r="E158" s="6" t="s">
        <v>836</v>
      </c>
      <c r="F158" s="6" t="s">
        <v>1072</v>
      </c>
      <c r="G158" s="6" t="s">
        <v>1073</v>
      </c>
      <c r="H158" s="6" t="s">
        <v>1074</v>
      </c>
      <c r="I158" s="6" t="s">
        <v>21</v>
      </c>
      <c r="J158" s="18" t="str">
        <f>"21014"</f>
        <v>21014</v>
      </c>
      <c r="K158" s="6"/>
      <c r="L158" s="6" t="s">
        <v>22</v>
      </c>
      <c r="M158" s="6" t="s">
        <v>1075</v>
      </c>
      <c r="N158" s="7" t="s">
        <v>1076</v>
      </c>
    </row>
    <row r="159" spans="1:14" ht="15" x14ac:dyDescent="0.25">
      <c r="A159" s="18" t="s">
        <v>2490</v>
      </c>
      <c r="B159" s="18" t="s">
        <v>604</v>
      </c>
      <c r="C159" s="6"/>
      <c r="D159" s="6" t="s">
        <v>2486</v>
      </c>
      <c r="E159" s="6" t="s">
        <v>2491</v>
      </c>
      <c r="F159" s="6" t="s">
        <v>2487</v>
      </c>
      <c r="G159" s="6"/>
      <c r="H159" s="6" t="s">
        <v>1638</v>
      </c>
      <c r="I159" s="6" t="s">
        <v>486</v>
      </c>
      <c r="J159" s="18" t="str">
        <f>"85004"</f>
        <v>85004</v>
      </c>
      <c r="K159" s="6"/>
      <c r="L159" s="6" t="s">
        <v>22</v>
      </c>
      <c r="M159" s="6" t="s">
        <v>2492</v>
      </c>
      <c r="N159" s="7" t="s">
        <v>2493</v>
      </c>
    </row>
    <row r="160" spans="1:14" ht="15" x14ac:dyDescent="0.25">
      <c r="A160" s="18" t="s">
        <v>603</v>
      </c>
      <c r="B160" s="18" t="s">
        <v>604</v>
      </c>
      <c r="C160" s="6"/>
      <c r="D160" s="6" t="s">
        <v>3309</v>
      </c>
      <c r="E160" s="6" t="s">
        <v>168</v>
      </c>
      <c r="F160" s="6" t="s">
        <v>605</v>
      </c>
      <c r="G160" s="6"/>
      <c r="H160" s="6" t="s">
        <v>606</v>
      </c>
      <c r="I160" s="6" t="s">
        <v>264</v>
      </c>
      <c r="J160" s="18" t="str">
        <f>"80109"</f>
        <v>80109</v>
      </c>
      <c r="K160" s="6"/>
      <c r="L160" s="6" t="s">
        <v>22</v>
      </c>
      <c r="M160" s="6" t="s">
        <v>607</v>
      </c>
      <c r="N160" s="7" t="s">
        <v>608</v>
      </c>
    </row>
    <row r="161" spans="1:14" ht="15" x14ac:dyDescent="0.25">
      <c r="A161" s="18" t="s">
        <v>788</v>
      </c>
      <c r="B161" s="18" t="s">
        <v>1587</v>
      </c>
      <c r="C161" s="6"/>
      <c r="D161" s="6" t="s">
        <v>1725</v>
      </c>
      <c r="E161" s="6" t="s">
        <v>1726</v>
      </c>
      <c r="F161" s="6" t="s">
        <v>1727</v>
      </c>
      <c r="G161" s="6"/>
      <c r="H161" s="6" t="s">
        <v>1225</v>
      </c>
      <c r="I161" s="6" t="s">
        <v>172</v>
      </c>
      <c r="J161" s="18" t="str">
        <f>"41501"</f>
        <v>41501</v>
      </c>
      <c r="K161" s="6"/>
      <c r="L161" s="6" t="s">
        <v>22</v>
      </c>
      <c r="M161" s="6" t="s">
        <v>1728</v>
      </c>
      <c r="N161" s="7" t="s">
        <v>1729</v>
      </c>
    </row>
    <row r="162" spans="1:14" ht="15" x14ac:dyDescent="0.25">
      <c r="A162" s="18" t="s">
        <v>588</v>
      </c>
      <c r="B162" s="18" t="s">
        <v>706</v>
      </c>
      <c r="C162" s="6"/>
      <c r="D162" s="6" t="s">
        <v>707</v>
      </c>
      <c r="E162" s="6" t="s">
        <v>708</v>
      </c>
      <c r="F162" s="6" t="s">
        <v>709</v>
      </c>
      <c r="G162" s="6"/>
      <c r="H162" s="6" t="s">
        <v>710</v>
      </c>
      <c r="I162" s="6" t="s">
        <v>86</v>
      </c>
      <c r="J162" s="18" t="str">
        <f>"12208-3009"</f>
        <v>12208-3009</v>
      </c>
      <c r="K162" s="6"/>
      <c r="L162" s="6" t="s">
        <v>22</v>
      </c>
      <c r="M162" s="6" t="s">
        <v>711</v>
      </c>
      <c r="N162" s="7" t="s">
        <v>712</v>
      </c>
    </row>
    <row r="163" spans="1:14" ht="15" x14ac:dyDescent="0.25">
      <c r="A163" s="18" t="s">
        <v>113</v>
      </c>
      <c r="B163" s="18" t="s">
        <v>1423</v>
      </c>
      <c r="C163" s="6"/>
      <c r="D163" s="6" t="s">
        <v>1106</v>
      </c>
      <c r="E163" s="6" t="s">
        <v>1424</v>
      </c>
      <c r="F163" s="6" t="s">
        <v>829</v>
      </c>
      <c r="G163" s="6" t="s">
        <v>1425</v>
      </c>
      <c r="H163" s="6" t="s">
        <v>816</v>
      </c>
      <c r="I163" s="6" t="s">
        <v>68</v>
      </c>
      <c r="J163" s="18" t="str">
        <f>"02142"</f>
        <v>02142</v>
      </c>
      <c r="K163" s="6"/>
      <c r="L163" s="6" t="s">
        <v>22</v>
      </c>
      <c r="M163" s="6" t="s">
        <v>1426</v>
      </c>
      <c r="N163" s="7" t="s">
        <v>1427</v>
      </c>
    </row>
    <row r="164" spans="1:14" ht="15" x14ac:dyDescent="0.25">
      <c r="A164" s="18" t="s">
        <v>104</v>
      </c>
      <c r="B164" s="18" t="s">
        <v>105</v>
      </c>
      <c r="C164" s="6"/>
      <c r="D164" s="6" t="s">
        <v>106</v>
      </c>
      <c r="E164" s="6" t="s">
        <v>107</v>
      </c>
      <c r="F164" s="6" t="s">
        <v>108</v>
      </c>
      <c r="G164" s="6" t="s">
        <v>109</v>
      </c>
      <c r="H164" s="6" t="s">
        <v>110</v>
      </c>
      <c r="I164" s="6" t="s">
        <v>21</v>
      </c>
      <c r="J164" s="18" t="str">
        <f>"21060"</f>
        <v>21060</v>
      </c>
      <c r="K164" s="6"/>
      <c r="L164" s="6" t="s">
        <v>22</v>
      </c>
      <c r="M164" s="6" t="s">
        <v>111</v>
      </c>
      <c r="N164" s="7" t="s">
        <v>112</v>
      </c>
    </row>
    <row r="165" spans="1:14" ht="15" x14ac:dyDescent="0.25">
      <c r="A165" s="18" t="s">
        <v>1342</v>
      </c>
      <c r="B165" s="18" t="s">
        <v>1343</v>
      </c>
      <c r="C165" s="6"/>
      <c r="D165" s="6" t="s">
        <v>1344</v>
      </c>
      <c r="E165" s="6" t="s">
        <v>1345</v>
      </c>
      <c r="F165" s="6" t="s">
        <v>1346</v>
      </c>
      <c r="G165" s="6" t="s">
        <v>1347</v>
      </c>
      <c r="H165" s="6" t="s">
        <v>38</v>
      </c>
      <c r="I165" s="6" t="s">
        <v>39</v>
      </c>
      <c r="J165" s="18" t="str">
        <f>"20001"</f>
        <v>20001</v>
      </c>
      <c r="K165" s="6"/>
      <c r="L165" s="6" t="s">
        <v>22</v>
      </c>
      <c r="M165" s="6" t="s">
        <v>1348</v>
      </c>
      <c r="N165" s="7" t="s">
        <v>1349</v>
      </c>
    </row>
    <row r="166" spans="1:14" ht="15" x14ac:dyDescent="0.25">
      <c r="A166" s="18" t="s">
        <v>497</v>
      </c>
      <c r="B166" s="18" t="s">
        <v>3399</v>
      </c>
      <c r="C166" s="6"/>
      <c r="D166" s="6" t="s">
        <v>3340</v>
      </c>
      <c r="E166" s="6" t="s">
        <v>3400</v>
      </c>
      <c r="F166" s="6" t="s">
        <v>3341</v>
      </c>
      <c r="G166" s="6"/>
      <c r="H166" s="6" t="s">
        <v>3342</v>
      </c>
      <c r="I166" s="6" t="s">
        <v>486</v>
      </c>
      <c r="J166" s="18">
        <v>85201</v>
      </c>
      <c r="K166" s="6"/>
      <c r="L166" s="6" t="s">
        <v>22</v>
      </c>
      <c r="M166" s="6" t="s">
        <v>3401</v>
      </c>
      <c r="N166" s="8" t="s">
        <v>3402</v>
      </c>
    </row>
    <row r="167" spans="1:14" ht="15" x14ac:dyDescent="0.25">
      <c r="A167" s="18" t="s">
        <v>316</v>
      </c>
      <c r="B167" s="18" t="s">
        <v>317</v>
      </c>
      <c r="C167" s="6"/>
      <c r="D167" s="6" t="s">
        <v>91</v>
      </c>
      <c r="E167" s="6" t="s">
        <v>318</v>
      </c>
      <c r="F167" s="6" t="s">
        <v>93</v>
      </c>
      <c r="G167" s="6" t="s">
        <v>101</v>
      </c>
      <c r="H167" s="6" t="s">
        <v>94</v>
      </c>
      <c r="I167" s="6" t="s">
        <v>95</v>
      </c>
      <c r="J167" s="18" t="str">
        <f>"04333-0164"</f>
        <v>04333-0164</v>
      </c>
      <c r="K167" s="6"/>
      <c r="L167" s="6" t="s">
        <v>22</v>
      </c>
      <c r="M167" s="6" t="s">
        <v>96</v>
      </c>
      <c r="N167" s="7" t="s">
        <v>319</v>
      </c>
    </row>
    <row r="168" spans="1:14" ht="15" x14ac:dyDescent="0.25">
      <c r="A168" s="18" t="s">
        <v>71</v>
      </c>
      <c r="B168" s="18" t="s">
        <v>2013</v>
      </c>
      <c r="C168" s="6"/>
      <c r="D168" s="6" t="s">
        <v>2007</v>
      </c>
      <c r="E168" s="6" t="s">
        <v>2014</v>
      </c>
      <c r="F168" s="6" t="s">
        <v>2008</v>
      </c>
      <c r="G168" s="6" t="s">
        <v>2009</v>
      </c>
      <c r="H168" s="6" t="s">
        <v>2010</v>
      </c>
      <c r="I168" s="6" t="s">
        <v>30</v>
      </c>
      <c r="J168" s="18" t="str">
        <f>"22180"</f>
        <v>22180</v>
      </c>
      <c r="K168" s="6"/>
      <c r="L168" s="6" t="s">
        <v>22</v>
      </c>
      <c r="M168" s="6" t="s">
        <v>2015</v>
      </c>
      <c r="N168" s="7" t="s">
        <v>2016</v>
      </c>
    </row>
    <row r="169" spans="1:14" ht="15" x14ac:dyDescent="0.25">
      <c r="A169" s="18" t="s">
        <v>104</v>
      </c>
      <c r="B169" s="18" t="s">
        <v>1170</v>
      </c>
      <c r="C169" s="6"/>
      <c r="D169" s="6" t="s">
        <v>1109</v>
      </c>
      <c r="E169" s="6" t="s">
        <v>1171</v>
      </c>
      <c r="F169" s="6" t="s">
        <v>1172</v>
      </c>
      <c r="G169" s="6" t="s">
        <v>1173</v>
      </c>
      <c r="H169" s="6" t="s">
        <v>1113</v>
      </c>
      <c r="I169" s="6" t="s">
        <v>1114</v>
      </c>
      <c r="J169" s="18" t="str">
        <f>"17105"</f>
        <v>17105</v>
      </c>
      <c r="K169" s="6"/>
      <c r="L169" s="6" t="s">
        <v>22</v>
      </c>
      <c r="M169" s="6" t="s">
        <v>1174</v>
      </c>
      <c r="N169" s="7" t="s">
        <v>1175</v>
      </c>
    </row>
    <row r="170" spans="1:14" ht="15" x14ac:dyDescent="0.25">
      <c r="A170" s="18" t="s">
        <v>3317</v>
      </c>
      <c r="B170" s="18" t="s">
        <v>404</v>
      </c>
      <c r="C170" s="6"/>
      <c r="D170" s="6" t="s">
        <v>3318</v>
      </c>
      <c r="E170" s="6" t="s">
        <v>3319</v>
      </c>
      <c r="F170" s="6" t="s">
        <v>3320</v>
      </c>
      <c r="G170" s="6"/>
      <c r="H170" s="6" t="s">
        <v>38</v>
      </c>
      <c r="I170" s="6" t="s">
        <v>39</v>
      </c>
      <c r="J170" s="18">
        <v>20036</v>
      </c>
      <c r="K170" s="6"/>
      <c r="L170" s="6" t="s">
        <v>22</v>
      </c>
      <c r="M170" s="6" t="s">
        <v>3321</v>
      </c>
      <c r="N170" s="8" t="s">
        <v>3322</v>
      </c>
    </row>
    <row r="171" spans="1:14" ht="15" x14ac:dyDescent="0.25">
      <c r="A171" s="18" t="s">
        <v>2441</v>
      </c>
      <c r="B171" s="18" t="s">
        <v>2442</v>
      </c>
      <c r="C171" s="6"/>
      <c r="D171" s="6" t="s">
        <v>1985</v>
      </c>
      <c r="E171" s="6" t="s">
        <v>2443</v>
      </c>
      <c r="F171" s="6" t="s">
        <v>1987</v>
      </c>
      <c r="G171" s="6"/>
      <c r="H171" s="6" t="s">
        <v>1988</v>
      </c>
      <c r="I171" s="6" t="s">
        <v>68</v>
      </c>
      <c r="J171" s="18" t="str">
        <f>"01752"</f>
        <v>01752</v>
      </c>
      <c r="K171" s="6"/>
      <c r="L171" s="6" t="s">
        <v>22</v>
      </c>
      <c r="M171" s="6" t="s">
        <v>1989</v>
      </c>
      <c r="N171" s="7" t="s">
        <v>2444</v>
      </c>
    </row>
    <row r="172" spans="1:14" ht="15" x14ac:dyDescent="0.25">
      <c r="A172" s="18" t="s">
        <v>165</v>
      </c>
      <c r="B172" s="18" t="s">
        <v>166</v>
      </c>
      <c r="C172" s="6"/>
      <c r="D172" s="6" t="s">
        <v>167</v>
      </c>
      <c r="E172" s="6" t="s">
        <v>168</v>
      </c>
      <c r="F172" s="6" t="s">
        <v>169</v>
      </c>
      <c r="G172" s="6" t="s">
        <v>170</v>
      </c>
      <c r="H172" s="6" t="s">
        <v>171</v>
      </c>
      <c r="I172" s="6" t="s">
        <v>172</v>
      </c>
      <c r="J172" s="18" t="str">
        <f>"40031"</f>
        <v>40031</v>
      </c>
      <c r="K172" s="6"/>
      <c r="L172" s="6" t="s">
        <v>22</v>
      </c>
      <c r="M172" s="6" t="s">
        <v>173</v>
      </c>
      <c r="N172" s="7" t="s">
        <v>174</v>
      </c>
    </row>
    <row r="173" spans="1:14" ht="15" x14ac:dyDescent="0.25">
      <c r="A173" s="18" t="s">
        <v>1456</v>
      </c>
      <c r="B173" s="18" t="s">
        <v>3421</v>
      </c>
      <c r="C173" s="6"/>
      <c r="D173" s="6" t="s">
        <v>2777</v>
      </c>
      <c r="E173" s="6" t="s">
        <v>3422</v>
      </c>
      <c r="F173" s="6" t="s">
        <v>1771</v>
      </c>
      <c r="G173" s="6" t="s">
        <v>3423</v>
      </c>
      <c r="H173" s="6" t="s">
        <v>364</v>
      </c>
      <c r="I173" s="6" t="s">
        <v>172</v>
      </c>
      <c r="J173" s="18">
        <v>40601</v>
      </c>
      <c r="K173" s="6"/>
      <c r="L173" s="6" t="s">
        <v>22</v>
      </c>
      <c r="M173" s="6" t="s">
        <v>3424</v>
      </c>
      <c r="N173" s="7"/>
    </row>
    <row r="174" spans="1:14" ht="15" x14ac:dyDescent="0.25">
      <c r="A174" s="18" t="s">
        <v>413</v>
      </c>
      <c r="B174" s="18" t="s">
        <v>414</v>
      </c>
      <c r="C174" s="6"/>
      <c r="D174" s="6" t="s">
        <v>406</v>
      </c>
      <c r="E174" s="6" t="s">
        <v>407</v>
      </c>
      <c r="F174" s="6" t="s">
        <v>408</v>
      </c>
      <c r="G174" s="6" t="s">
        <v>415</v>
      </c>
      <c r="H174" s="6" t="s">
        <v>410</v>
      </c>
      <c r="I174" s="6" t="s">
        <v>264</v>
      </c>
      <c r="J174" s="18" t="str">
        <f>"80222"</f>
        <v>80222</v>
      </c>
      <c r="K174" s="6"/>
      <c r="L174" s="6" t="s">
        <v>22</v>
      </c>
      <c r="M174" s="6" t="s">
        <v>416</v>
      </c>
      <c r="N174" s="7" t="s">
        <v>417</v>
      </c>
    </row>
    <row r="175" spans="1:14" ht="15" x14ac:dyDescent="0.25">
      <c r="A175" s="18" t="s">
        <v>2821</v>
      </c>
      <c r="B175" s="18" t="s">
        <v>2822</v>
      </c>
      <c r="C175" s="6"/>
      <c r="D175" s="6" t="s">
        <v>2755</v>
      </c>
      <c r="E175" s="6" t="s">
        <v>2823</v>
      </c>
      <c r="F175" s="6" t="s">
        <v>2757</v>
      </c>
      <c r="G175" s="6"/>
      <c r="H175" s="6" t="s">
        <v>1245</v>
      </c>
      <c r="I175" s="6" t="s">
        <v>172</v>
      </c>
      <c r="J175" s="18" t="str">
        <f>"40202"</f>
        <v>40202</v>
      </c>
      <c r="K175" s="6"/>
      <c r="L175" s="6" t="s">
        <v>22</v>
      </c>
      <c r="M175" s="6" t="s">
        <v>2824</v>
      </c>
      <c r="N175" s="7" t="s">
        <v>2825</v>
      </c>
    </row>
    <row r="176" spans="1:14" ht="15" x14ac:dyDescent="0.25">
      <c r="A176" s="18" t="s">
        <v>474</v>
      </c>
      <c r="B176" s="18" t="s">
        <v>475</v>
      </c>
      <c r="C176" s="6"/>
      <c r="D176" s="6" t="s">
        <v>467</v>
      </c>
      <c r="E176" s="6" t="s">
        <v>476</v>
      </c>
      <c r="F176" s="6" t="s">
        <v>469</v>
      </c>
      <c r="G176" s="6" t="s">
        <v>477</v>
      </c>
      <c r="H176" s="6" t="s">
        <v>471</v>
      </c>
      <c r="I176" s="6" t="s">
        <v>118</v>
      </c>
      <c r="J176" s="18" t="str">
        <f>"48126"</f>
        <v>48126</v>
      </c>
      <c r="K176" s="6"/>
      <c r="L176" s="6" t="s">
        <v>22</v>
      </c>
      <c r="M176" s="6" t="s">
        <v>478</v>
      </c>
      <c r="N176" s="7" t="s">
        <v>479</v>
      </c>
    </row>
    <row r="177" spans="1:14" ht="15" x14ac:dyDescent="0.25">
      <c r="A177" s="18" t="s">
        <v>398</v>
      </c>
      <c r="B177" s="18" t="s">
        <v>399</v>
      </c>
      <c r="C177" s="6"/>
      <c r="D177" s="6" t="s">
        <v>378</v>
      </c>
      <c r="E177" s="6" t="s">
        <v>400</v>
      </c>
      <c r="F177" s="6" t="s">
        <v>379</v>
      </c>
      <c r="G177" s="6"/>
      <c r="H177" s="6" t="s">
        <v>380</v>
      </c>
      <c r="I177" s="6" t="s">
        <v>381</v>
      </c>
      <c r="J177" s="18" t="str">
        <f>"57501"</f>
        <v>57501</v>
      </c>
      <c r="K177" s="6"/>
      <c r="L177" s="6" t="s">
        <v>22</v>
      </c>
      <c r="M177" s="6" t="s">
        <v>387</v>
      </c>
      <c r="N177" s="7" t="s">
        <v>401</v>
      </c>
    </row>
    <row r="178" spans="1:14" ht="15" x14ac:dyDescent="0.25">
      <c r="A178" s="18" t="s">
        <v>1006</v>
      </c>
      <c r="B178" s="18" t="s">
        <v>1007</v>
      </c>
      <c r="C178" s="6"/>
      <c r="D178" s="6" t="s">
        <v>276</v>
      </c>
      <c r="E178" s="6" t="s">
        <v>64</v>
      </c>
      <c r="F178" s="6" t="s">
        <v>1000</v>
      </c>
      <c r="G178" s="6" t="s">
        <v>882</v>
      </c>
      <c r="H178" s="6" t="s">
        <v>279</v>
      </c>
      <c r="I178" s="6" t="s">
        <v>280</v>
      </c>
      <c r="J178" s="18" t="str">
        <f>"98501"</f>
        <v>98501</v>
      </c>
      <c r="K178" s="6"/>
      <c r="L178" s="6" t="s">
        <v>22</v>
      </c>
      <c r="M178" s="6" t="s">
        <v>1008</v>
      </c>
      <c r="N178" s="7" t="s">
        <v>1009</v>
      </c>
    </row>
    <row r="179" spans="1:14" ht="15" x14ac:dyDescent="0.25">
      <c r="A179" s="18" t="s">
        <v>431</v>
      </c>
      <c r="B179" s="18" t="s">
        <v>432</v>
      </c>
      <c r="C179" s="6"/>
      <c r="D179" s="6" t="s">
        <v>433</v>
      </c>
      <c r="E179" s="6" t="s">
        <v>434</v>
      </c>
      <c r="F179" s="6" t="s">
        <v>435</v>
      </c>
      <c r="G179" s="6"/>
      <c r="H179" s="6" t="s">
        <v>436</v>
      </c>
      <c r="I179" s="6" t="s">
        <v>154</v>
      </c>
      <c r="J179" s="18" t="str">
        <f>"46580"</f>
        <v>46580</v>
      </c>
      <c r="K179" s="6"/>
      <c r="L179" s="6" t="s">
        <v>22</v>
      </c>
      <c r="M179" s="6" t="s">
        <v>437</v>
      </c>
      <c r="N179" s="7" t="s">
        <v>438</v>
      </c>
    </row>
    <row r="180" spans="1:14" ht="15" x14ac:dyDescent="0.25">
      <c r="A180" s="18" t="s">
        <v>308</v>
      </c>
      <c r="B180" s="18" t="s">
        <v>1428</v>
      </c>
      <c r="C180" s="6"/>
      <c r="D180" s="6" t="s">
        <v>133</v>
      </c>
      <c r="E180" s="6" t="s">
        <v>1429</v>
      </c>
      <c r="F180" s="6" t="s">
        <v>135</v>
      </c>
      <c r="G180" s="6"/>
      <c r="H180" s="6" t="s">
        <v>136</v>
      </c>
      <c r="I180" s="6" t="s">
        <v>137</v>
      </c>
      <c r="J180" s="18" t="str">
        <f>"96950"</f>
        <v>96950</v>
      </c>
      <c r="K180" s="6" t="s">
        <v>1377</v>
      </c>
      <c r="L180" s="6" t="s">
        <v>22</v>
      </c>
      <c r="M180" s="6" t="s">
        <v>1381</v>
      </c>
      <c r="N180" s="7" t="s">
        <v>1430</v>
      </c>
    </row>
    <row r="181" spans="1:14" ht="15" x14ac:dyDescent="0.25">
      <c r="A181" s="18" t="s">
        <v>539</v>
      </c>
      <c r="B181" s="18" t="s">
        <v>540</v>
      </c>
      <c r="C181" s="6"/>
      <c r="D181" s="6" t="s">
        <v>541</v>
      </c>
      <c r="E181" s="6"/>
      <c r="F181" s="6" t="s">
        <v>542</v>
      </c>
      <c r="G181" s="6" t="s">
        <v>543</v>
      </c>
      <c r="H181" s="6" t="s">
        <v>544</v>
      </c>
      <c r="I181" s="6" t="s">
        <v>30</v>
      </c>
      <c r="J181" s="18" t="str">
        <f>"22203"</f>
        <v>22203</v>
      </c>
      <c r="K181" s="6"/>
      <c r="L181" s="6" t="s">
        <v>22</v>
      </c>
      <c r="M181" s="6" t="s">
        <v>545</v>
      </c>
      <c r="N181" s="7" t="s">
        <v>546</v>
      </c>
    </row>
    <row r="182" spans="1:14" ht="15" x14ac:dyDescent="0.25">
      <c r="A182" s="18" t="s">
        <v>218</v>
      </c>
      <c r="B182" s="18" t="s">
        <v>3301</v>
      </c>
      <c r="C182" s="6"/>
      <c r="D182" s="6" t="s">
        <v>424</v>
      </c>
      <c r="E182" s="6" t="s">
        <v>425</v>
      </c>
      <c r="F182" s="6" t="s">
        <v>426</v>
      </c>
      <c r="G182" s="6" t="s">
        <v>427</v>
      </c>
      <c r="H182" s="6" t="s">
        <v>428</v>
      </c>
      <c r="I182" s="6" t="s">
        <v>49</v>
      </c>
      <c r="J182" s="18" t="str">
        <f>"07647"</f>
        <v>07647</v>
      </c>
      <c r="K182" s="6"/>
      <c r="L182" s="6" t="s">
        <v>22</v>
      </c>
      <c r="M182" s="6" t="s">
        <v>3302</v>
      </c>
      <c r="N182" s="8" t="s">
        <v>3303</v>
      </c>
    </row>
    <row r="183" spans="1:14" ht="15" x14ac:dyDescent="0.25">
      <c r="A183" s="18" t="s">
        <v>1923</v>
      </c>
      <c r="B183" s="18" t="s">
        <v>1924</v>
      </c>
      <c r="C183" s="6" t="s">
        <v>1925</v>
      </c>
      <c r="D183" s="6" t="s">
        <v>1106</v>
      </c>
      <c r="E183" s="6" t="s">
        <v>1926</v>
      </c>
      <c r="F183" s="6" t="s">
        <v>1107</v>
      </c>
      <c r="G183" s="6" t="s">
        <v>1927</v>
      </c>
      <c r="H183" s="6" t="s">
        <v>38</v>
      </c>
      <c r="I183" s="6" t="s">
        <v>39</v>
      </c>
      <c r="J183" s="18" t="str">
        <f>"20590"</f>
        <v>20590</v>
      </c>
      <c r="K183" s="6"/>
      <c r="L183" s="6" t="s">
        <v>22</v>
      </c>
      <c r="M183" s="6" t="s">
        <v>1928</v>
      </c>
      <c r="N183" s="7" t="s">
        <v>1929</v>
      </c>
    </row>
    <row r="184" spans="1:14" ht="15" x14ac:dyDescent="0.25">
      <c r="A184" s="18" t="s">
        <v>1647</v>
      </c>
      <c r="B184" s="18" t="s">
        <v>1648</v>
      </c>
      <c r="C184" s="6"/>
      <c r="D184" s="6" t="s">
        <v>1635</v>
      </c>
      <c r="E184" s="6" t="s">
        <v>1649</v>
      </c>
      <c r="F184" s="6" t="s">
        <v>1650</v>
      </c>
      <c r="G184" s="6" t="s">
        <v>1651</v>
      </c>
      <c r="H184" s="6" t="s">
        <v>1638</v>
      </c>
      <c r="I184" s="6" t="s">
        <v>486</v>
      </c>
      <c r="J184" s="18" t="str">
        <f>"85007"</f>
        <v>85007</v>
      </c>
      <c r="K184" s="6"/>
      <c r="L184" s="6" t="s">
        <v>22</v>
      </c>
      <c r="M184" s="6" t="s">
        <v>1639</v>
      </c>
      <c r="N184" s="7" t="s">
        <v>1652</v>
      </c>
    </row>
    <row r="185" spans="1:14" ht="15" x14ac:dyDescent="0.25">
      <c r="A185" s="18" t="s">
        <v>175</v>
      </c>
      <c r="B185" s="18" t="s">
        <v>1858</v>
      </c>
      <c r="C185" s="6"/>
      <c r="D185" s="6" t="s">
        <v>1583</v>
      </c>
      <c r="E185" s="6" t="s">
        <v>1859</v>
      </c>
      <c r="F185" s="6" t="s">
        <v>1596</v>
      </c>
      <c r="G185" s="6"/>
      <c r="H185" s="6" t="s">
        <v>325</v>
      </c>
      <c r="I185" s="6" t="s">
        <v>326</v>
      </c>
      <c r="J185" s="18" t="str">
        <f>"27601"</f>
        <v>27601</v>
      </c>
      <c r="K185" s="6"/>
      <c r="L185" s="6" t="s">
        <v>22</v>
      </c>
      <c r="M185" s="6" t="s">
        <v>1860</v>
      </c>
      <c r="N185" s="7" t="s">
        <v>1861</v>
      </c>
    </row>
    <row r="186" spans="1:14" ht="15" x14ac:dyDescent="0.25">
      <c r="A186" s="18" t="s">
        <v>245</v>
      </c>
      <c r="B186" s="18" t="s">
        <v>2694</v>
      </c>
      <c r="C186" s="6" t="s">
        <v>2934</v>
      </c>
      <c r="D186" s="6" t="s">
        <v>2695</v>
      </c>
      <c r="E186" s="6" t="s">
        <v>2696</v>
      </c>
      <c r="F186" s="6" t="s">
        <v>2697</v>
      </c>
      <c r="G186" s="6"/>
      <c r="H186" s="6" t="s">
        <v>229</v>
      </c>
      <c r="I186" s="6" t="s">
        <v>172</v>
      </c>
      <c r="J186" s="18" t="str">
        <f>"41339"</f>
        <v>41339</v>
      </c>
      <c r="K186" s="6" t="s">
        <v>2934</v>
      </c>
      <c r="L186" s="6" t="s">
        <v>22</v>
      </c>
      <c r="M186" s="6" t="s">
        <v>2698</v>
      </c>
      <c r="N186" s="7" t="s">
        <v>2699</v>
      </c>
    </row>
    <row r="187" spans="1:14" ht="15" x14ac:dyDescent="0.25">
      <c r="A187" s="18" t="s">
        <v>767</v>
      </c>
      <c r="B187" s="18" t="s">
        <v>885</v>
      </c>
      <c r="C187" s="6"/>
      <c r="D187" s="6" t="s">
        <v>870</v>
      </c>
      <c r="E187" s="6" t="s">
        <v>886</v>
      </c>
      <c r="F187" s="6" t="s">
        <v>887</v>
      </c>
      <c r="G187" s="6" t="s">
        <v>888</v>
      </c>
      <c r="H187" s="6" t="s">
        <v>874</v>
      </c>
      <c r="I187" s="6" t="s">
        <v>875</v>
      </c>
      <c r="J187" s="18" t="str">
        <f>"37243"</f>
        <v>37243</v>
      </c>
      <c r="K187" s="6"/>
      <c r="L187" s="6" t="s">
        <v>22</v>
      </c>
      <c r="M187" s="6" t="s">
        <v>889</v>
      </c>
      <c r="N187" s="7" t="s">
        <v>890</v>
      </c>
    </row>
    <row r="188" spans="1:14" ht="15" x14ac:dyDescent="0.25">
      <c r="A188" s="18" t="s">
        <v>991</v>
      </c>
      <c r="B188" s="18" t="s">
        <v>1560</v>
      </c>
      <c r="C188" s="6"/>
      <c r="D188" s="6" t="s">
        <v>2368</v>
      </c>
      <c r="E188" s="6" t="s">
        <v>2300</v>
      </c>
      <c r="F188" s="6" t="s">
        <v>2369</v>
      </c>
      <c r="G188" s="6" t="s">
        <v>2370</v>
      </c>
      <c r="H188" s="6" t="s">
        <v>2371</v>
      </c>
      <c r="I188" s="6" t="s">
        <v>326</v>
      </c>
      <c r="J188" s="18" t="str">
        <f>"27515"</f>
        <v>27515</v>
      </c>
      <c r="K188" s="6"/>
      <c r="L188" s="6" t="s">
        <v>22</v>
      </c>
      <c r="M188" s="6" t="s">
        <v>2372</v>
      </c>
      <c r="N188" s="7" t="s">
        <v>2373</v>
      </c>
    </row>
    <row r="189" spans="1:14" ht="15" x14ac:dyDescent="0.25">
      <c r="A189" s="18" t="s">
        <v>1805</v>
      </c>
      <c r="B189" s="18" t="s">
        <v>1560</v>
      </c>
      <c r="C189" s="6"/>
      <c r="D189" s="6" t="s">
        <v>1725</v>
      </c>
      <c r="E189" s="6" t="s">
        <v>2590</v>
      </c>
      <c r="F189" s="6" t="s">
        <v>2584</v>
      </c>
      <c r="G189" s="6"/>
      <c r="H189" s="6" t="s">
        <v>364</v>
      </c>
      <c r="I189" s="6" t="s">
        <v>172</v>
      </c>
      <c r="J189" s="18" t="str">
        <f>"40622"</f>
        <v>40622</v>
      </c>
      <c r="K189" s="6"/>
      <c r="L189" s="6" t="s">
        <v>22</v>
      </c>
      <c r="M189" s="6" t="s">
        <v>2591</v>
      </c>
      <c r="N189" s="7" t="s">
        <v>2592</v>
      </c>
    </row>
    <row r="190" spans="1:14" ht="15" x14ac:dyDescent="0.25">
      <c r="A190" s="18" t="s">
        <v>795</v>
      </c>
      <c r="B190" s="18" t="s">
        <v>796</v>
      </c>
      <c r="C190" s="6"/>
      <c r="D190" s="6" t="s">
        <v>790</v>
      </c>
      <c r="E190" s="6" t="s">
        <v>797</v>
      </c>
      <c r="F190" s="6" t="s">
        <v>798</v>
      </c>
      <c r="G190" s="6"/>
      <c r="H190" s="6" t="s">
        <v>38</v>
      </c>
      <c r="I190" s="6" t="s">
        <v>39</v>
      </c>
      <c r="J190" s="18" t="str">
        <f>"20548"</f>
        <v>20548</v>
      </c>
      <c r="K190" s="6"/>
      <c r="L190" s="6" t="s">
        <v>22</v>
      </c>
      <c r="M190" s="6" t="s">
        <v>799</v>
      </c>
      <c r="N190" s="7" t="s">
        <v>800</v>
      </c>
    </row>
    <row r="191" spans="1:14" ht="15" x14ac:dyDescent="0.25">
      <c r="A191" s="18" t="s">
        <v>1014</v>
      </c>
      <c r="B191" s="18" t="s">
        <v>1796</v>
      </c>
      <c r="C191" s="6"/>
      <c r="D191" s="6" t="s">
        <v>861</v>
      </c>
      <c r="E191" s="6" t="s">
        <v>1797</v>
      </c>
      <c r="F191" s="6" t="s">
        <v>1798</v>
      </c>
      <c r="G191" s="6" t="s">
        <v>1799</v>
      </c>
      <c r="H191" s="6" t="s">
        <v>1800</v>
      </c>
      <c r="I191" s="6" t="s">
        <v>866</v>
      </c>
      <c r="J191" s="18" t="str">
        <f>"96707"</f>
        <v>96707</v>
      </c>
      <c r="K191" s="6"/>
      <c r="L191" s="6" t="s">
        <v>22</v>
      </c>
      <c r="M191" s="6" t="s">
        <v>1801</v>
      </c>
      <c r="N191" s="7" t="s">
        <v>1802</v>
      </c>
    </row>
    <row r="192" spans="1:14" ht="15" x14ac:dyDescent="0.25">
      <c r="A192" s="18" t="s">
        <v>1090</v>
      </c>
      <c r="B192" s="18" t="s">
        <v>1091</v>
      </c>
      <c r="C192" s="6"/>
      <c r="D192" s="6" t="s">
        <v>1077</v>
      </c>
      <c r="E192" s="6" t="s">
        <v>1092</v>
      </c>
      <c r="F192" s="6" t="s">
        <v>1081</v>
      </c>
      <c r="G192" s="6" t="s">
        <v>126</v>
      </c>
      <c r="H192" s="6" t="s">
        <v>1079</v>
      </c>
      <c r="I192" s="6" t="s">
        <v>373</v>
      </c>
      <c r="J192" s="18" t="str">
        <f>"55101-5150"</f>
        <v>55101-5150</v>
      </c>
      <c r="K192" s="6"/>
      <c r="L192" s="6" t="s">
        <v>22</v>
      </c>
      <c r="M192" s="6" t="s">
        <v>1093</v>
      </c>
      <c r="N192" s="7" t="s">
        <v>1094</v>
      </c>
    </row>
    <row r="193" spans="1:14" ht="15" x14ac:dyDescent="0.25">
      <c r="A193" s="18" t="s">
        <v>2776</v>
      </c>
      <c r="B193" s="18" t="s">
        <v>2065</v>
      </c>
      <c r="C193" s="6"/>
      <c r="D193" s="6" t="s">
        <v>2777</v>
      </c>
      <c r="E193" s="6" t="s">
        <v>2778</v>
      </c>
      <c r="F193" s="6" t="s">
        <v>1107</v>
      </c>
      <c r="G193" s="6" t="s">
        <v>2779</v>
      </c>
      <c r="H193" s="6" t="s">
        <v>38</v>
      </c>
      <c r="I193" s="6" t="s">
        <v>39</v>
      </c>
      <c r="J193" s="18" t="str">
        <f>"20590"</f>
        <v>20590</v>
      </c>
      <c r="K193" s="6"/>
      <c r="L193" s="6" t="s">
        <v>22</v>
      </c>
      <c r="M193" s="6" t="s">
        <v>2780</v>
      </c>
      <c r="N193" s="7" t="s">
        <v>2781</v>
      </c>
    </row>
    <row r="194" spans="1:14" ht="15" x14ac:dyDescent="0.25">
      <c r="A194" s="18" t="s">
        <v>737</v>
      </c>
      <c r="B194" s="18" t="s">
        <v>2065</v>
      </c>
      <c r="C194" s="6"/>
      <c r="D194" s="6" t="s">
        <v>2066</v>
      </c>
      <c r="E194" s="6" t="s">
        <v>2067</v>
      </c>
      <c r="F194" s="6" t="s">
        <v>36</v>
      </c>
      <c r="G194" s="6" t="s">
        <v>2068</v>
      </c>
      <c r="H194" s="6" t="s">
        <v>38</v>
      </c>
      <c r="I194" s="6" t="s">
        <v>39</v>
      </c>
      <c r="J194" s="18" t="str">
        <f>"20001"</f>
        <v>20001</v>
      </c>
      <c r="K194" s="6"/>
      <c r="L194" s="6" t="s">
        <v>22</v>
      </c>
      <c r="M194" s="6" t="s">
        <v>2069</v>
      </c>
      <c r="N194" s="7" t="s">
        <v>2070</v>
      </c>
    </row>
    <row r="195" spans="1:14" ht="15" x14ac:dyDescent="0.25">
      <c r="A195" s="18" t="s">
        <v>631</v>
      </c>
      <c r="B195" s="18" t="s">
        <v>632</v>
      </c>
      <c r="C195" s="6"/>
      <c r="D195" s="6" t="s">
        <v>633</v>
      </c>
      <c r="E195" s="6" t="s">
        <v>634</v>
      </c>
      <c r="F195" s="6" t="s">
        <v>635</v>
      </c>
      <c r="G195" s="6"/>
      <c r="H195" s="6" t="s">
        <v>636</v>
      </c>
      <c r="I195" s="6" t="s">
        <v>128</v>
      </c>
      <c r="J195" s="18" t="str">
        <f>"95758"</f>
        <v>95758</v>
      </c>
      <c r="K195" s="6"/>
      <c r="L195" s="6" t="s">
        <v>22</v>
      </c>
      <c r="M195" s="6" t="s">
        <v>637</v>
      </c>
      <c r="N195" s="7" t="s">
        <v>638</v>
      </c>
    </row>
    <row r="196" spans="1:14" ht="15" x14ac:dyDescent="0.25">
      <c r="A196" s="18" t="s">
        <v>743</v>
      </c>
      <c r="B196" s="18" t="s">
        <v>744</v>
      </c>
      <c r="C196" s="6"/>
      <c r="D196" s="6" t="s">
        <v>106</v>
      </c>
      <c r="E196" s="6" t="s">
        <v>745</v>
      </c>
      <c r="F196" s="6" t="s">
        <v>740</v>
      </c>
      <c r="G196" s="6"/>
      <c r="H196" s="6" t="s">
        <v>110</v>
      </c>
      <c r="I196" s="6" t="s">
        <v>21</v>
      </c>
      <c r="J196" s="18" t="str">
        <f>"21062"</f>
        <v>21062</v>
      </c>
      <c r="K196" s="6"/>
      <c r="L196" s="6" t="s">
        <v>22</v>
      </c>
      <c r="M196" s="6" t="s">
        <v>746</v>
      </c>
      <c r="N196" s="7" t="s">
        <v>747</v>
      </c>
    </row>
    <row r="197" spans="1:14" ht="15" x14ac:dyDescent="0.25">
      <c r="A197" s="18" t="s">
        <v>1256</v>
      </c>
      <c r="B197" s="18" t="s">
        <v>1257</v>
      </c>
      <c r="C197" s="6"/>
      <c r="D197" s="6" t="s">
        <v>1258</v>
      </c>
      <c r="E197" s="6" t="s">
        <v>1259</v>
      </c>
      <c r="F197" s="6" t="s">
        <v>1260</v>
      </c>
      <c r="G197" s="6" t="s">
        <v>1261</v>
      </c>
      <c r="H197" s="6" t="s">
        <v>1262</v>
      </c>
      <c r="I197" s="6" t="s">
        <v>454</v>
      </c>
      <c r="J197" s="18" t="str">
        <f>"61710-0001"</f>
        <v>61710-0001</v>
      </c>
      <c r="K197" s="6"/>
      <c r="L197" s="6" t="s">
        <v>22</v>
      </c>
      <c r="M197" s="6" t="s">
        <v>1263</v>
      </c>
      <c r="N197" s="7" t="s">
        <v>1264</v>
      </c>
    </row>
    <row r="198" spans="1:14" ht="15" x14ac:dyDescent="0.25">
      <c r="A198" s="18" t="s">
        <v>959</v>
      </c>
      <c r="B198" s="18" t="s">
        <v>1445</v>
      </c>
      <c r="C198" s="6"/>
      <c r="D198" s="6" t="s">
        <v>2881</v>
      </c>
      <c r="E198" s="6" t="s">
        <v>64</v>
      </c>
      <c r="F198" s="6" t="s">
        <v>2882</v>
      </c>
      <c r="G198" s="6"/>
      <c r="H198" s="6" t="s">
        <v>1189</v>
      </c>
      <c r="I198" s="6" t="s">
        <v>734</v>
      </c>
      <c r="J198" s="18" t="str">
        <f>"73105-5403"</f>
        <v>73105-5403</v>
      </c>
      <c r="K198" s="6"/>
      <c r="L198" s="6" t="s">
        <v>22</v>
      </c>
      <c r="M198" s="6" t="s">
        <v>2883</v>
      </c>
      <c r="N198" s="7" t="s">
        <v>2884</v>
      </c>
    </row>
    <row r="199" spans="1:14" ht="15" x14ac:dyDescent="0.25">
      <c r="A199" s="18" t="s">
        <v>175</v>
      </c>
      <c r="B199" s="18" t="s">
        <v>1477</v>
      </c>
      <c r="C199" s="6"/>
      <c r="D199" s="6" t="s">
        <v>2260</v>
      </c>
      <c r="E199" s="6" t="s">
        <v>3385</v>
      </c>
      <c r="F199" s="6" t="s">
        <v>3386</v>
      </c>
      <c r="G199" s="6" t="s">
        <v>3387</v>
      </c>
      <c r="H199" s="6" t="s">
        <v>3388</v>
      </c>
      <c r="I199" s="6" t="s">
        <v>21</v>
      </c>
      <c r="J199" s="18">
        <v>20876</v>
      </c>
      <c r="K199" s="6"/>
      <c r="L199" s="6" t="s">
        <v>22</v>
      </c>
      <c r="M199" s="6" t="s">
        <v>3389</v>
      </c>
      <c r="N199" s="8" t="s">
        <v>3368</v>
      </c>
    </row>
    <row r="200" spans="1:14" ht="15" x14ac:dyDescent="0.25">
      <c r="A200" s="18" t="s">
        <v>113</v>
      </c>
      <c r="B200" s="18" t="s">
        <v>1477</v>
      </c>
      <c r="C200" s="6" t="s">
        <v>2934</v>
      </c>
      <c r="D200" s="6" t="s">
        <v>1478</v>
      </c>
      <c r="E200" s="6" t="s">
        <v>1479</v>
      </c>
      <c r="F200" s="6" t="s">
        <v>1480</v>
      </c>
      <c r="G200" s="6"/>
      <c r="H200" s="6" t="s">
        <v>1481</v>
      </c>
      <c r="I200" s="6" t="s">
        <v>128</v>
      </c>
      <c r="J200" s="18" t="str">
        <f>"95403"</f>
        <v>95403</v>
      </c>
      <c r="K200" s="6"/>
      <c r="L200" s="6" t="s">
        <v>22</v>
      </c>
      <c r="M200" s="6" t="s">
        <v>1482</v>
      </c>
      <c r="N200" s="7" t="s">
        <v>1483</v>
      </c>
    </row>
    <row r="201" spans="1:14" ht="15" x14ac:dyDescent="0.25">
      <c r="A201" s="18" t="s">
        <v>25</v>
      </c>
      <c r="B201" s="18" t="s">
        <v>26</v>
      </c>
      <c r="C201" s="6"/>
      <c r="D201" s="6" t="s">
        <v>17</v>
      </c>
      <c r="E201" s="6" t="s">
        <v>27</v>
      </c>
      <c r="F201" s="6" t="s">
        <v>28</v>
      </c>
      <c r="G201" s="6"/>
      <c r="H201" s="6" t="s">
        <v>29</v>
      </c>
      <c r="I201" s="6" t="s">
        <v>30</v>
      </c>
      <c r="J201" s="18" t="str">
        <f>"22042"</f>
        <v>22042</v>
      </c>
      <c r="K201" s="6"/>
      <c r="L201" s="6" t="s">
        <v>22</v>
      </c>
      <c r="M201" s="6" t="s">
        <v>31</v>
      </c>
      <c r="N201" s="7" t="s">
        <v>32</v>
      </c>
    </row>
    <row r="202" spans="1:14" ht="15" x14ac:dyDescent="0.25">
      <c r="A202" s="18" t="s">
        <v>959</v>
      </c>
      <c r="B202" s="18" t="s">
        <v>1837</v>
      </c>
      <c r="C202" s="6"/>
      <c r="D202" s="6" t="s">
        <v>1831</v>
      </c>
      <c r="E202" s="6" t="s">
        <v>1832</v>
      </c>
      <c r="F202" s="6" t="s">
        <v>1833</v>
      </c>
      <c r="G202" s="6"/>
      <c r="H202" s="6" t="s">
        <v>1834</v>
      </c>
      <c r="I202" s="6" t="s">
        <v>30</v>
      </c>
      <c r="J202" s="18" t="str">
        <f>"22150"</f>
        <v>22150</v>
      </c>
      <c r="K202" s="6"/>
      <c r="L202" s="6" t="s">
        <v>22</v>
      </c>
      <c r="M202" s="6" t="s">
        <v>1838</v>
      </c>
      <c r="N202" s="7" t="s">
        <v>1839</v>
      </c>
    </row>
    <row r="203" spans="1:14" ht="15" x14ac:dyDescent="0.25">
      <c r="A203" s="18" t="s">
        <v>763</v>
      </c>
      <c r="B203" s="18" t="s">
        <v>764</v>
      </c>
      <c r="C203" s="6"/>
      <c r="D203" s="6" t="s">
        <v>758</v>
      </c>
      <c r="E203" s="6" t="s">
        <v>641</v>
      </c>
      <c r="F203" s="6" t="s">
        <v>760</v>
      </c>
      <c r="G203" s="6"/>
      <c r="H203" s="6" t="s">
        <v>761</v>
      </c>
      <c r="I203" s="6" t="s">
        <v>762</v>
      </c>
      <c r="J203" s="18" t="str">
        <f>"89711"</f>
        <v>89711</v>
      </c>
      <c r="K203" s="6"/>
      <c r="L203" s="6" t="s">
        <v>22</v>
      </c>
      <c r="M203" s="6" t="s">
        <v>765</v>
      </c>
      <c r="N203" s="7" t="s">
        <v>766</v>
      </c>
    </row>
    <row r="204" spans="1:14" ht="15" x14ac:dyDescent="0.25">
      <c r="A204" s="18" t="s">
        <v>1484</v>
      </c>
      <c r="B204" s="18" t="s">
        <v>1485</v>
      </c>
      <c r="C204" s="6"/>
      <c r="D204" s="6" t="s">
        <v>827</v>
      </c>
      <c r="E204" s="6" t="s">
        <v>828</v>
      </c>
      <c r="F204" s="6" t="s">
        <v>1486</v>
      </c>
      <c r="G204" s="6" t="s">
        <v>1487</v>
      </c>
      <c r="H204" s="6" t="s">
        <v>1442</v>
      </c>
      <c r="I204" s="6" t="s">
        <v>1324</v>
      </c>
      <c r="J204" s="18" t="str">
        <f>"30303"</f>
        <v>30303</v>
      </c>
      <c r="K204" s="6"/>
      <c r="L204" s="6" t="s">
        <v>22</v>
      </c>
      <c r="M204" s="6" t="s">
        <v>1488</v>
      </c>
      <c r="N204" s="7" t="s">
        <v>1489</v>
      </c>
    </row>
    <row r="205" spans="1:14" ht="15" x14ac:dyDescent="0.25">
      <c r="A205" s="18" t="s">
        <v>1289</v>
      </c>
      <c r="B205" s="18" t="s">
        <v>1485</v>
      </c>
      <c r="C205" s="6"/>
      <c r="D205" s="6" t="s">
        <v>1843</v>
      </c>
      <c r="E205" s="6" t="s">
        <v>1844</v>
      </c>
      <c r="F205" s="6" t="s">
        <v>1845</v>
      </c>
      <c r="G205" s="6"/>
      <c r="H205" s="6" t="s">
        <v>1145</v>
      </c>
      <c r="I205" s="6" t="s">
        <v>1146</v>
      </c>
      <c r="J205" s="18" t="str">
        <f>"97302"</f>
        <v>97302</v>
      </c>
      <c r="K205" s="6"/>
      <c r="L205" s="6" t="s">
        <v>22</v>
      </c>
      <c r="M205" s="6" t="s">
        <v>1846</v>
      </c>
      <c r="N205" s="7" t="s">
        <v>1847</v>
      </c>
    </row>
    <row r="206" spans="1:14" ht="15" x14ac:dyDescent="0.25">
      <c r="A206" s="18" t="s">
        <v>3293</v>
      </c>
      <c r="B206" s="18" t="s">
        <v>1485</v>
      </c>
      <c r="C206" s="6"/>
      <c r="D206" s="6" t="s">
        <v>1438</v>
      </c>
      <c r="E206" s="6" t="s">
        <v>3294</v>
      </c>
      <c r="F206" s="6" t="s">
        <v>1440</v>
      </c>
      <c r="G206" s="6"/>
      <c r="H206" s="6" t="s">
        <v>1442</v>
      </c>
      <c r="I206" s="6" t="s">
        <v>1324</v>
      </c>
      <c r="J206" s="18" t="str">
        <f>"30334"</f>
        <v>30334</v>
      </c>
      <c r="K206" s="6"/>
      <c r="L206" s="6" t="s">
        <v>22</v>
      </c>
      <c r="M206" s="6" t="s">
        <v>3295</v>
      </c>
      <c r="N206" s="8" t="s">
        <v>3296</v>
      </c>
    </row>
    <row r="207" spans="1:14" ht="15" x14ac:dyDescent="0.25">
      <c r="A207" s="18" t="s">
        <v>2730</v>
      </c>
      <c r="B207" s="18" t="s">
        <v>1485</v>
      </c>
      <c r="C207" s="6"/>
      <c r="D207" s="6" t="s">
        <v>2731</v>
      </c>
      <c r="E207" s="6" t="s">
        <v>2732</v>
      </c>
      <c r="F207" s="6" t="s">
        <v>2733</v>
      </c>
      <c r="G207" s="6" t="s">
        <v>2734</v>
      </c>
      <c r="H207" s="6" t="s">
        <v>2477</v>
      </c>
      <c r="I207" s="6" t="s">
        <v>128</v>
      </c>
      <c r="J207" s="18" t="str">
        <f>"94107"</f>
        <v>94107</v>
      </c>
      <c r="K207" s="6"/>
      <c r="L207" s="6" t="s">
        <v>22</v>
      </c>
      <c r="M207" s="6" t="s">
        <v>2937</v>
      </c>
      <c r="N207" s="7" t="s">
        <v>2735</v>
      </c>
    </row>
    <row r="208" spans="1:14" ht="15" x14ac:dyDescent="0.25">
      <c r="A208" s="18" t="s">
        <v>932</v>
      </c>
      <c r="B208" s="18" t="s">
        <v>2811</v>
      </c>
      <c r="C208" s="6"/>
      <c r="D208" s="6" t="s">
        <v>2784</v>
      </c>
      <c r="E208" s="6" t="s">
        <v>2812</v>
      </c>
      <c r="F208" s="6" t="s">
        <v>2813</v>
      </c>
      <c r="G208" s="6"/>
      <c r="H208" s="6" t="s">
        <v>874</v>
      </c>
      <c r="I208" s="6" t="s">
        <v>154</v>
      </c>
      <c r="J208" s="18" t="str">
        <f>"47448"</f>
        <v>47448</v>
      </c>
      <c r="K208" s="6"/>
      <c r="L208" s="6" t="s">
        <v>22</v>
      </c>
      <c r="M208" s="6" t="s">
        <v>2814</v>
      </c>
      <c r="N208" s="7" t="s">
        <v>2815</v>
      </c>
    </row>
    <row r="209" spans="1:14" ht="15" x14ac:dyDescent="0.25">
      <c r="A209" s="18" t="s">
        <v>2345</v>
      </c>
      <c r="B209" s="18" t="s">
        <v>2346</v>
      </c>
      <c r="C209" s="6"/>
      <c r="D209" s="6" t="s">
        <v>2317</v>
      </c>
      <c r="E209" s="6" t="s">
        <v>2327</v>
      </c>
      <c r="F209" s="6" t="s">
        <v>2318</v>
      </c>
      <c r="G209" s="6"/>
      <c r="H209" s="6" t="s">
        <v>364</v>
      </c>
      <c r="I209" s="6" t="s">
        <v>172</v>
      </c>
      <c r="J209" s="18" t="str">
        <f>"40601"</f>
        <v>40601</v>
      </c>
      <c r="K209" s="6"/>
      <c r="L209" s="6" t="s">
        <v>22</v>
      </c>
      <c r="M209" s="6" t="s">
        <v>2323</v>
      </c>
      <c r="N209" s="7" t="s">
        <v>2347</v>
      </c>
    </row>
    <row r="210" spans="1:14" ht="15" x14ac:dyDescent="0.25">
      <c r="A210" s="18" t="s">
        <v>53</v>
      </c>
      <c r="B210" s="18" t="s">
        <v>82</v>
      </c>
      <c r="C210" s="6"/>
      <c r="D210" s="6" t="s">
        <v>83</v>
      </c>
      <c r="E210" s="6" t="s">
        <v>46</v>
      </c>
      <c r="F210" s="6" t="s">
        <v>84</v>
      </c>
      <c r="G210" s="6"/>
      <c r="H210" s="6" t="s">
        <v>85</v>
      </c>
      <c r="I210" s="6" t="s">
        <v>86</v>
      </c>
      <c r="J210" s="18" t="str">
        <f>"14850-6216"</f>
        <v>14850-6216</v>
      </c>
      <c r="K210" s="6"/>
      <c r="L210" s="6" t="s">
        <v>22</v>
      </c>
      <c r="M210" s="6" t="s">
        <v>87</v>
      </c>
      <c r="N210" s="7" t="s">
        <v>88</v>
      </c>
    </row>
    <row r="211" spans="1:14" ht="15" x14ac:dyDescent="0.25">
      <c r="A211" s="18" t="s">
        <v>287</v>
      </c>
      <c r="B211" s="18" t="s">
        <v>2485</v>
      </c>
      <c r="C211" s="6"/>
      <c r="D211" s="6" t="s">
        <v>2486</v>
      </c>
      <c r="E211" s="6" t="s">
        <v>1815</v>
      </c>
      <c r="F211" s="6" t="s">
        <v>2487</v>
      </c>
      <c r="G211" s="6"/>
      <c r="H211" s="6" t="s">
        <v>1638</v>
      </c>
      <c r="I211" s="6" t="s">
        <v>486</v>
      </c>
      <c r="J211" s="18" t="str">
        <f>"85004"</f>
        <v>85004</v>
      </c>
      <c r="K211" s="6"/>
      <c r="L211" s="6" t="s">
        <v>22</v>
      </c>
      <c r="M211" s="6" t="s">
        <v>2488</v>
      </c>
      <c r="N211" s="7" t="s">
        <v>2489</v>
      </c>
    </row>
    <row r="212" spans="1:14" ht="15" x14ac:dyDescent="0.25">
      <c r="A212" s="18" t="s">
        <v>1045</v>
      </c>
      <c r="B212" s="18" t="s">
        <v>1046</v>
      </c>
      <c r="C212" s="6"/>
      <c r="D212" s="6" t="s">
        <v>1047</v>
      </c>
      <c r="E212" s="6" t="s">
        <v>534</v>
      </c>
      <c r="F212" s="6" t="s">
        <v>1048</v>
      </c>
      <c r="G212" s="6"/>
      <c r="H212" s="6" t="s">
        <v>1049</v>
      </c>
      <c r="I212" s="6" t="s">
        <v>172</v>
      </c>
      <c r="J212" s="18" t="str">
        <f>"41017"</f>
        <v>41017</v>
      </c>
      <c r="K212" s="6"/>
      <c r="L212" s="6" t="s">
        <v>22</v>
      </c>
      <c r="M212" s="6" t="s">
        <v>1050</v>
      </c>
      <c r="N212" s="7" t="s">
        <v>1051</v>
      </c>
    </row>
    <row r="213" spans="1:14" ht="15" x14ac:dyDescent="0.25">
      <c r="A213" s="18" t="s">
        <v>113</v>
      </c>
      <c r="B213" s="18" t="s">
        <v>1046</v>
      </c>
      <c r="C213" s="6"/>
      <c r="D213" s="6" t="s">
        <v>2928</v>
      </c>
      <c r="E213" s="6" t="s">
        <v>2929</v>
      </c>
      <c r="F213" s="6" t="s">
        <v>2930</v>
      </c>
      <c r="G213" s="6"/>
      <c r="H213" s="6" t="s">
        <v>2931</v>
      </c>
      <c r="I213" s="6" t="s">
        <v>76</v>
      </c>
      <c r="J213" s="18">
        <v>75202</v>
      </c>
      <c r="K213" s="6"/>
      <c r="L213" s="6" t="s">
        <v>22</v>
      </c>
      <c r="M213" s="6" t="s">
        <v>2932</v>
      </c>
      <c r="N213" s="7" t="s">
        <v>2933</v>
      </c>
    </row>
    <row r="214" spans="1:14" ht="15" x14ac:dyDescent="0.25">
      <c r="A214" s="18" t="s">
        <v>308</v>
      </c>
      <c r="B214" s="18" t="s">
        <v>2799</v>
      </c>
      <c r="C214" s="6"/>
      <c r="D214" s="6" t="s">
        <v>2800</v>
      </c>
      <c r="E214" s="6" t="s">
        <v>2801</v>
      </c>
      <c r="F214" s="6" t="s">
        <v>3310</v>
      </c>
      <c r="G214" s="6"/>
      <c r="H214" s="6" t="s">
        <v>2802</v>
      </c>
      <c r="I214" s="6" t="s">
        <v>356</v>
      </c>
      <c r="J214" s="18" t="str">
        <f>"83203"</f>
        <v>83203</v>
      </c>
      <c r="K214" s="6"/>
      <c r="L214" s="6" t="s">
        <v>22</v>
      </c>
      <c r="M214" s="6" t="s">
        <v>2803</v>
      </c>
      <c r="N214" s="7" t="s">
        <v>2804</v>
      </c>
    </row>
    <row r="215" spans="1:14" ht="15" x14ac:dyDescent="0.25">
      <c r="A215" s="18" t="s">
        <v>588</v>
      </c>
      <c r="B215" s="18" t="s">
        <v>2102</v>
      </c>
      <c r="C215" s="6"/>
      <c r="D215" s="6" t="s">
        <v>2103</v>
      </c>
      <c r="E215" s="6" t="s">
        <v>168</v>
      </c>
      <c r="F215" s="6" t="s">
        <v>2104</v>
      </c>
      <c r="G215" s="6"/>
      <c r="H215" s="6" t="s">
        <v>2105</v>
      </c>
      <c r="I215" s="6" t="s">
        <v>172</v>
      </c>
      <c r="J215" s="18" t="str">
        <f>"41101"</f>
        <v>41101</v>
      </c>
      <c r="K215" s="6"/>
      <c r="L215" s="6" t="s">
        <v>22</v>
      </c>
      <c r="M215" s="6" t="s">
        <v>2106</v>
      </c>
      <c r="N215" s="7" t="s">
        <v>2107</v>
      </c>
    </row>
    <row r="216" spans="1:14" ht="15" x14ac:dyDescent="0.25">
      <c r="A216" s="18" t="s">
        <v>613</v>
      </c>
      <c r="B216" s="18" t="s">
        <v>2681</v>
      </c>
      <c r="C216" s="6"/>
      <c r="D216" s="6" t="s">
        <v>2675</v>
      </c>
      <c r="E216" s="6" t="s">
        <v>2682</v>
      </c>
      <c r="F216" s="6" t="s">
        <v>2677</v>
      </c>
      <c r="G216" s="6" t="s">
        <v>2678</v>
      </c>
      <c r="H216" s="6" t="s">
        <v>1672</v>
      </c>
      <c r="I216" s="6" t="s">
        <v>1673</v>
      </c>
      <c r="J216" s="18" t="str">
        <f>"66603-3754"</f>
        <v>66603-3754</v>
      </c>
      <c r="K216" s="6"/>
      <c r="L216" s="6" t="s">
        <v>22</v>
      </c>
      <c r="M216" s="6" t="s">
        <v>2683</v>
      </c>
      <c r="N216" s="7" t="s">
        <v>2684</v>
      </c>
    </row>
    <row r="217" spans="1:14" ht="15" x14ac:dyDescent="0.25">
      <c r="A217" s="18" t="s">
        <v>2666</v>
      </c>
      <c r="B217" s="18" t="s">
        <v>2667</v>
      </c>
      <c r="C217" s="6"/>
      <c r="D217" s="6" t="s">
        <v>730</v>
      </c>
      <c r="E217" s="6" t="s">
        <v>708</v>
      </c>
      <c r="F217" s="6" t="s">
        <v>950</v>
      </c>
      <c r="G217" s="6"/>
      <c r="H217" s="6" t="s">
        <v>922</v>
      </c>
      <c r="I217" s="6" t="s">
        <v>454</v>
      </c>
      <c r="J217" s="18" t="str">
        <f>"60143-3201"</f>
        <v>60143-3201</v>
      </c>
      <c r="K217" s="6"/>
      <c r="L217" s="6" t="s">
        <v>22</v>
      </c>
      <c r="M217" s="6" t="s">
        <v>2668</v>
      </c>
      <c r="N217" s="7" t="s">
        <v>2669</v>
      </c>
    </row>
    <row r="218" spans="1:14" ht="15" x14ac:dyDescent="0.25">
      <c r="A218" s="18" t="s">
        <v>3425</v>
      </c>
      <c r="B218" s="18" t="s">
        <v>3426</v>
      </c>
      <c r="C218" s="6"/>
      <c r="D218" s="6" t="s">
        <v>2777</v>
      </c>
      <c r="E218" s="6" t="s">
        <v>3427</v>
      </c>
      <c r="F218" s="6" t="s">
        <v>1771</v>
      </c>
      <c r="G218" s="6" t="s">
        <v>3423</v>
      </c>
      <c r="H218" s="6" t="s">
        <v>364</v>
      </c>
      <c r="I218" s="6" t="s">
        <v>172</v>
      </c>
      <c r="J218" s="18">
        <v>40601</v>
      </c>
      <c r="K218" s="6"/>
      <c r="L218" s="6" t="s">
        <v>22</v>
      </c>
      <c r="M218" s="6" t="s">
        <v>3428</v>
      </c>
      <c r="N218" s="8" t="s">
        <v>3429</v>
      </c>
    </row>
    <row r="219" spans="1:14" ht="15" x14ac:dyDescent="0.25">
      <c r="A219" s="18" t="s">
        <v>1456</v>
      </c>
      <c r="B219" s="18" t="s">
        <v>1973</v>
      </c>
      <c r="C219" s="6" t="s">
        <v>2837</v>
      </c>
      <c r="D219" s="6" t="s">
        <v>2838</v>
      </c>
      <c r="E219" s="6" t="s">
        <v>2839</v>
      </c>
      <c r="F219" s="6" t="s">
        <v>2840</v>
      </c>
      <c r="G219" s="6" t="s">
        <v>2841</v>
      </c>
      <c r="H219" s="6" t="s">
        <v>2842</v>
      </c>
      <c r="I219" s="6" t="s">
        <v>128</v>
      </c>
      <c r="J219" s="18" t="str">
        <f>"92093"</f>
        <v>92093</v>
      </c>
      <c r="K219" s="6"/>
      <c r="L219" s="6" t="s">
        <v>22</v>
      </c>
      <c r="M219" s="6" t="s">
        <v>2843</v>
      </c>
      <c r="N219" s="7" t="s">
        <v>2844</v>
      </c>
    </row>
    <row r="220" spans="1:14" ht="15" x14ac:dyDescent="0.25">
      <c r="A220" s="18" t="s">
        <v>1866</v>
      </c>
      <c r="B220" s="18" t="s">
        <v>1973</v>
      </c>
      <c r="C220" s="6"/>
      <c r="D220" s="6" t="s">
        <v>1974</v>
      </c>
      <c r="E220" s="6" t="s">
        <v>777</v>
      </c>
      <c r="F220" s="6" t="s">
        <v>1975</v>
      </c>
      <c r="G220" s="6"/>
      <c r="H220" s="6" t="s">
        <v>1970</v>
      </c>
      <c r="I220" s="6" t="s">
        <v>1114</v>
      </c>
      <c r="J220" s="18" t="str">
        <f>"19146"</f>
        <v>19146</v>
      </c>
      <c r="K220" s="6"/>
      <c r="L220" s="6" t="s">
        <v>22</v>
      </c>
      <c r="M220" s="6" t="s">
        <v>1976</v>
      </c>
      <c r="N220" s="7" t="s">
        <v>1977</v>
      </c>
    </row>
    <row r="221" spans="1:14" ht="15" x14ac:dyDescent="0.25">
      <c r="A221" s="18" t="s">
        <v>1753</v>
      </c>
      <c r="B221" s="18" t="s">
        <v>1754</v>
      </c>
      <c r="C221" s="6"/>
      <c r="D221" s="6" t="s">
        <v>433</v>
      </c>
      <c r="E221" s="6" t="s">
        <v>1755</v>
      </c>
      <c r="F221" s="6" t="s">
        <v>1756</v>
      </c>
      <c r="G221" s="6" t="s">
        <v>1757</v>
      </c>
      <c r="H221" s="6" t="s">
        <v>153</v>
      </c>
      <c r="I221" s="6" t="s">
        <v>154</v>
      </c>
      <c r="J221" s="18" t="str">
        <f>"46204"</f>
        <v>46204</v>
      </c>
      <c r="K221" s="6"/>
      <c r="L221" s="6" t="s">
        <v>22</v>
      </c>
      <c r="M221" s="6" t="s">
        <v>1758</v>
      </c>
      <c r="N221" s="7" t="s">
        <v>1759</v>
      </c>
    </row>
    <row r="222" spans="1:14" ht="15" x14ac:dyDescent="0.25">
      <c r="A222" s="18" t="s">
        <v>203</v>
      </c>
      <c r="B222" s="18" t="s">
        <v>204</v>
      </c>
      <c r="C222" s="6"/>
      <c r="D222" s="6" t="s">
        <v>205</v>
      </c>
      <c r="E222" s="6" t="s">
        <v>206</v>
      </c>
      <c r="F222" s="6" t="s">
        <v>207</v>
      </c>
      <c r="G222" s="6"/>
      <c r="H222" s="6" t="s">
        <v>208</v>
      </c>
      <c r="I222" s="6" t="s">
        <v>172</v>
      </c>
      <c r="J222" s="18" t="str">
        <f>"41139"</f>
        <v>41139</v>
      </c>
      <c r="K222" s="6"/>
      <c r="L222" s="6" t="s">
        <v>22</v>
      </c>
      <c r="M222" s="6" t="s">
        <v>209</v>
      </c>
      <c r="N222" s="7" t="s">
        <v>210</v>
      </c>
    </row>
    <row r="223" spans="1:14" ht="15" x14ac:dyDescent="0.25">
      <c r="A223" s="18" t="s">
        <v>1409</v>
      </c>
      <c r="B223" s="18" t="s">
        <v>2359</v>
      </c>
      <c r="C223" s="6"/>
      <c r="D223" s="6" t="s">
        <v>2360</v>
      </c>
      <c r="E223" s="6" t="s">
        <v>1894</v>
      </c>
      <c r="F223" s="6" t="s">
        <v>2361</v>
      </c>
      <c r="G223" s="6"/>
      <c r="H223" s="6" t="s">
        <v>2362</v>
      </c>
      <c r="I223" s="6" t="s">
        <v>172</v>
      </c>
      <c r="J223" s="18" t="str">
        <f>"40507"</f>
        <v>40507</v>
      </c>
      <c r="K223" s="6"/>
      <c r="L223" s="6" t="s">
        <v>22</v>
      </c>
      <c r="M223" s="6" t="s">
        <v>2363</v>
      </c>
      <c r="N223" s="7" t="s">
        <v>2364</v>
      </c>
    </row>
    <row r="224" spans="1:14" ht="15" x14ac:dyDescent="0.25">
      <c r="A224" s="18" t="s">
        <v>1035</v>
      </c>
      <c r="B224" s="18" t="s">
        <v>1036</v>
      </c>
      <c r="C224" s="6" t="s">
        <v>1037</v>
      </c>
      <c r="D224" s="6" t="s">
        <v>1038</v>
      </c>
      <c r="E224" s="6" t="s">
        <v>1039</v>
      </c>
      <c r="F224" s="6" t="s">
        <v>1040</v>
      </c>
      <c r="G224" s="6" t="s">
        <v>1041</v>
      </c>
      <c r="H224" s="6" t="s">
        <v>1042</v>
      </c>
      <c r="I224" s="6" t="s">
        <v>242</v>
      </c>
      <c r="J224" s="18" t="str">
        <f>"32399-0450"</f>
        <v>32399-0450</v>
      </c>
      <c r="K224" s="6"/>
      <c r="L224" s="6" t="s">
        <v>22</v>
      </c>
      <c r="M224" s="6" t="s">
        <v>1043</v>
      </c>
      <c r="N224" s="7" t="s">
        <v>1044</v>
      </c>
    </row>
    <row r="225" spans="1:14" ht="15" x14ac:dyDescent="0.25">
      <c r="A225" s="18" t="s">
        <v>1332</v>
      </c>
      <c r="B225" s="18" t="s">
        <v>1333</v>
      </c>
      <c r="C225" s="6"/>
      <c r="D225" s="6" t="s">
        <v>1247</v>
      </c>
      <c r="E225" s="6" t="s">
        <v>407</v>
      </c>
      <c r="F225" s="6" t="s">
        <v>1248</v>
      </c>
      <c r="G225" s="6"/>
      <c r="H225" s="6" t="s">
        <v>199</v>
      </c>
      <c r="I225" s="6" t="s">
        <v>200</v>
      </c>
      <c r="J225" s="18" t="str">
        <f>"72209"</f>
        <v>72209</v>
      </c>
      <c r="K225" s="6"/>
      <c r="L225" s="6" t="s">
        <v>22</v>
      </c>
      <c r="M225" s="6" t="s">
        <v>1334</v>
      </c>
      <c r="N225" s="7" t="s">
        <v>1335</v>
      </c>
    </row>
    <row r="226" spans="1:14" ht="15" x14ac:dyDescent="0.25">
      <c r="A226" s="18" t="s">
        <v>342</v>
      </c>
      <c r="B226" s="18" t="s">
        <v>698</v>
      </c>
      <c r="C226" s="6"/>
      <c r="D226" s="6" t="s">
        <v>699</v>
      </c>
      <c r="E226" s="6" t="s">
        <v>700</v>
      </c>
      <c r="F226" s="6" t="s">
        <v>701</v>
      </c>
      <c r="G226" s="6"/>
      <c r="H226" s="6" t="s">
        <v>702</v>
      </c>
      <c r="I226" s="6" t="s">
        <v>703</v>
      </c>
      <c r="J226" s="18" t="str">
        <f>"06107"</f>
        <v>06107</v>
      </c>
      <c r="K226" s="6"/>
      <c r="L226" s="6" t="s">
        <v>22</v>
      </c>
      <c r="M226" s="6" t="s">
        <v>704</v>
      </c>
      <c r="N226" s="7" t="s">
        <v>705</v>
      </c>
    </row>
    <row r="227" spans="1:14" ht="15" x14ac:dyDescent="0.25">
      <c r="A227" s="18" t="s">
        <v>658</v>
      </c>
      <c r="B227" s="18" t="s">
        <v>659</v>
      </c>
      <c r="C227" s="6"/>
      <c r="D227" s="6" t="s">
        <v>652</v>
      </c>
      <c r="E227" s="6" t="s">
        <v>660</v>
      </c>
      <c r="F227" s="6" t="s">
        <v>654</v>
      </c>
      <c r="G227" s="6" t="s">
        <v>655</v>
      </c>
      <c r="H227" s="6" t="s">
        <v>544</v>
      </c>
      <c r="I227" s="6" t="s">
        <v>30</v>
      </c>
      <c r="J227" s="18" t="str">
        <f>"22202-4801"</f>
        <v>22202-4801</v>
      </c>
      <c r="K227" s="6"/>
      <c r="L227" s="6" t="s">
        <v>22</v>
      </c>
      <c r="M227" s="6" t="s">
        <v>661</v>
      </c>
      <c r="N227" s="7" t="s">
        <v>662</v>
      </c>
    </row>
    <row r="228" spans="1:14" ht="15" x14ac:dyDescent="0.25">
      <c r="A228" s="18" t="s">
        <v>3265</v>
      </c>
      <c r="B228" s="18" t="s">
        <v>3407</v>
      </c>
      <c r="C228" s="6"/>
      <c r="D228" s="6" t="s">
        <v>2047</v>
      </c>
      <c r="E228" s="6" t="s">
        <v>3408</v>
      </c>
      <c r="F228" s="6" t="s">
        <v>2048</v>
      </c>
      <c r="G228" s="6"/>
      <c r="H228" s="6" t="s">
        <v>1323</v>
      </c>
      <c r="I228" s="6" t="s">
        <v>1324</v>
      </c>
      <c r="J228" s="18">
        <v>30005</v>
      </c>
      <c r="K228" s="6"/>
      <c r="L228" s="6" t="s">
        <v>22</v>
      </c>
      <c r="M228" s="6" t="s">
        <v>3409</v>
      </c>
      <c r="N228" s="8" t="s">
        <v>3410</v>
      </c>
    </row>
    <row r="229" spans="1:14" ht="15" x14ac:dyDescent="0.25">
      <c r="A229" s="18" t="s">
        <v>2577</v>
      </c>
      <c r="B229" s="18" t="s">
        <v>2578</v>
      </c>
      <c r="C229" s="6"/>
      <c r="D229" s="6" t="s">
        <v>2570</v>
      </c>
      <c r="E229" s="6" t="s">
        <v>2579</v>
      </c>
      <c r="F229" s="6" t="s">
        <v>2580</v>
      </c>
      <c r="G229" s="6"/>
      <c r="H229" s="6" t="s">
        <v>2574</v>
      </c>
      <c r="I229" s="6" t="s">
        <v>725</v>
      </c>
      <c r="J229" s="18" t="str">
        <f>"43223"</f>
        <v>43223</v>
      </c>
      <c r="K229" s="6"/>
      <c r="L229" s="6" t="s">
        <v>22</v>
      </c>
      <c r="M229" s="6" t="s">
        <v>2581</v>
      </c>
      <c r="N229" s="7" t="s">
        <v>2582</v>
      </c>
    </row>
    <row r="230" spans="1:14" ht="15" x14ac:dyDescent="0.25">
      <c r="A230" s="18" t="s">
        <v>767</v>
      </c>
      <c r="B230" s="18" t="s">
        <v>768</v>
      </c>
      <c r="C230" s="6"/>
      <c r="D230" s="6" t="s">
        <v>758</v>
      </c>
      <c r="E230" s="6" t="s">
        <v>769</v>
      </c>
      <c r="F230" s="6" t="s">
        <v>770</v>
      </c>
      <c r="G230" s="6"/>
      <c r="H230" s="6" t="s">
        <v>771</v>
      </c>
      <c r="I230" s="6" t="s">
        <v>762</v>
      </c>
      <c r="J230" s="18" t="str">
        <f>"89511"</f>
        <v>89511</v>
      </c>
      <c r="K230" s="6"/>
      <c r="L230" s="6" t="s">
        <v>22</v>
      </c>
      <c r="M230" s="6" t="s">
        <v>772</v>
      </c>
      <c r="N230" s="7" t="s">
        <v>773</v>
      </c>
    </row>
    <row r="231" spans="1:14" ht="15" x14ac:dyDescent="0.25">
      <c r="A231" s="18" t="s">
        <v>3477</v>
      </c>
      <c r="B231" s="18" t="s">
        <v>3478</v>
      </c>
      <c r="C231" s="6"/>
      <c r="D231" s="6" t="s">
        <v>1694</v>
      </c>
      <c r="E231" s="6" t="s">
        <v>3479</v>
      </c>
      <c r="F231" s="6" t="s">
        <v>3480</v>
      </c>
      <c r="G231" s="6"/>
      <c r="H231" s="6" t="s">
        <v>1834</v>
      </c>
      <c r="I231" s="6" t="s">
        <v>454</v>
      </c>
      <c r="J231" s="18">
        <v>62702</v>
      </c>
      <c r="K231" s="6"/>
      <c r="L231" s="6" t="s">
        <v>22</v>
      </c>
      <c r="M231" s="6" t="s">
        <v>3481</v>
      </c>
      <c r="N231" s="8" t="s">
        <v>3482</v>
      </c>
    </row>
    <row r="232" spans="1:14" ht="15" x14ac:dyDescent="0.25">
      <c r="A232" s="18" t="s">
        <v>627</v>
      </c>
      <c r="B232" s="18" t="s">
        <v>628</v>
      </c>
      <c r="C232" s="6"/>
      <c r="D232" s="6" t="s">
        <v>622</v>
      </c>
      <c r="E232" s="6" t="s">
        <v>337</v>
      </c>
      <c r="F232" s="6" t="s">
        <v>623</v>
      </c>
      <c r="G232" s="6"/>
      <c r="H232" s="6" t="s">
        <v>624</v>
      </c>
      <c r="I232" s="6" t="s">
        <v>172</v>
      </c>
      <c r="J232" s="18" t="str">
        <f>"41056"</f>
        <v>41056</v>
      </c>
      <c r="K232" s="6"/>
      <c r="L232" s="6" t="s">
        <v>22</v>
      </c>
      <c r="M232" s="6" t="s">
        <v>629</v>
      </c>
      <c r="N232" s="7" t="s">
        <v>630</v>
      </c>
    </row>
    <row r="233" spans="1:14" ht="15" x14ac:dyDescent="0.25">
      <c r="A233" s="18" t="s">
        <v>384</v>
      </c>
      <c r="B233" s="18" t="s">
        <v>385</v>
      </c>
      <c r="C233" s="6"/>
      <c r="D233" s="6" t="s">
        <v>378</v>
      </c>
      <c r="E233" s="6" t="s">
        <v>386</v>
      </c>
      <c r="F233" s="6" t="s">
        <v>379</v>
      </c>
      <c r="G233" s="6"/>
      <c r="H233" s="6" t="s">
        <v>380</v>
      </c>
      <c r="I233" s="6" t="s">
        <v>381</v>
      </c>
      <c r="J233" s="18" t="str">
        <f>"57501"</f>
        <v>57501</v>
      </c>
      <c r="K233" s="6"/>
      <c r="L233" s="6" t="s">
        <v>22</v>
      </c>
      <c r="M233" s="23" t="s">
        <v>387</v>
      </c>
      <c r="N233" s="36" t="s">
        <v>388</v>
      </c>
    </row>
    <row r="234" spans="1:14" ht="15" x14ac:dyDescent="0.25">
      <c r="A234" s="18" t="s">
        <v>974</v>
      </c>
      <c r="B234" s="18" t="s">
        <v>975</v>
      </c>
      <c r="C234" s="6"/>
      <c r="D234" s="6" t="s">
        <v>969</v>
      </c>
      <c r="E234" s="6"/>
      <c r="F234" s="6" t="s">
        <v>970</v>
      </c>
      <c r="G234" s="6"/>
      <c r="H234" s="6" t="s">
        <v>971</v>
      </c>
      <c r="I234" s="6" t="s">
        <v>172</v>
      </c>
      <c r="J234" s="18" t="str">
        <f>"40741"</f>
        <v>40741</v>
      </c>
      <c r="K234" s="6"/>
      <c r="L234" s="6" t="s">
        <v>22</v>
      </c>
      <c r="M234" s="6" t="s">
        <v>972</v>
      </c>
      <c r="N234" s="7" t="s">
        <v>976</v>
      </c>
    </row>
    <row r="235" spans="1:14" ht="15" x14ac:dyDescent="0.25">
      <c r="A235" s="18" t="s">
        <v>389</v>
      </c>
      <c r="B235" s="18" t="s">
        <v>390</v>
      </c>
      <c r="C235" s="6"/>
      <c r="D235" s="6" t="s">
        <v>378</v>
      </c>
      <c r="E235" s="6" t="s">
        <v>391</v>
      </c>
      <c r="F235" s="6" t="s">
        <v>379</v>
      </c>
      <c r="G235" s="6"/>
      <c r="H235" s="6" t="s">
        <v>380</v>
      </c>
      <c r="I235" s="6" t="s">
        <v>381</v>
      </c>
      <c r="J235" s="18" t="str">
        <f>"57501"</f>
        <v>57501</v>
      </c>
      <c r="K235" s="6"/>
      <c r="L235" s="6" t="s">
        <v>22</v>
      </c>
      <c r="M235" s="6" t="s">
        <v>392</v>
      </c>
      <c r="N235" s="7" t="s">
        <v>393</v>
      </c>
    </row>
    <row r="236" spans="1:14" ht="15" x14ac:dyDescent="0.25">
      <c r="A236" s="18" t="s">
        <v>1508</v>
      </c>
      <c r="B236" s="18" t="s">
        <v>1509</v>
      </c>
      <c r="C236" s="6"/>
      <c r="D236" s="6" t="s">
        <v>1510</v>
      </c>
      <c r="E236" s="6" t="s">
        <v>1464</v>
      </c>
      <c r="F236" s="6" t="s">
        <v>1511</v>
      </c>
      <c r="G236" s="6" t="s">
        <v>1512</v>
      </c>
      <c r="H236" s="6" t="s">
        <v>1513</v>
      </c>
      <c r="I236" s="6" t="s">
        <v>1514</v>
      </c>
      <c r="J236" s="18" t="str">
        <f>"50319-0248"</f>
        <v>50319-0248</v>
      </c>
      <c r="K236" s="6"/>
      <c r="L236" s="6" t="s">
        <v>22</v>
      </c>
      <c r="M236" s="6" t="s">
        <v>1515</v>
      </c>
      <c r="N236" s="7" t="s">
        <v>1516</v>
      </c>
    </row>
    <row r="237" spans="1:14" ht="15" x14ac:dyDescent="0.25">
      <c r="A237" s="18" t="s">
        <v>2548</v>
      </c>
      <c r="B237" s="18" t="s">
        <v>2549</v>
      </c>
      <c r="C237" s="6"/>
      <c r="D237" s="6" t="s">
        <v>2550</v>
      </c>
      <c r="E237" s="6"/>
      <c r="F237" s="6" t="s">
        <v>2551</v>
      </c>
      <c r="G237" s="6"/>
      <c r="H237" s="6" t="s">
        <v>2552</v>
      </c>
      <c r="I237" s="6" t="s">
        <v>754</v>
      </c>
      <c r="J237" s="18" t="str">
        <f>"03756"</f>
        <v>03756</v>
      </c>
      <c r="K237" s="6"/>
      <c r="L237" s="6" t="s">
        <v>22</v>
      </c>
      <c r="M237" s="6" t="s">
        <v>2553</v>
      </c>
      <c r="N237" s="8" t="s">
        <v>3323</v>
      </c>
    </row>
    <row r="238" spans="1:14" ht="15" x14ac:dyDescent="0.25">
      <c r="A238" s="18" t="s">
        <v>3436</v>
      </c>
      <c r="B238" s="18" t="s">
        <v>3437</v>
      </c>
      <c r="C238" s="6" t="s">
        <v>3438</v>
      </c>
      <c r="D238" s="6" t="s">
        <v>1068</v>
      </c>
      <c r="E238" s="6" t="s">
        <v>3439</v>
      </c>
      <c r="F238" s="6"/>
      <c r="G238" s="6"/>
      <c r="H238" s="6"/>
      <c r="I238" s="6"/>
      <c r="J238" s="18"/>
      <c r="K238" s="6"/>
      <c r="L238" s="6"/>
      <c r="M238" s="6"/>
      <c r="N238" s="8"/>
    </row>
    <row r="239" spans="1:14" ht="15" x14ac:dyDescent="0.25">
      <c r="A239" s="18" t="s">
        <v>1402</v>
      </c>
      <c r="B239" s="18" t="s">
        <v>1403</v>
      </c>
      <c r="C239" s="6"/>
      <c r="D239" s="6" t="s">
        <v>1404</v>
      </c>
      <c r="E239" s="6" t="s">
        <v>337</v>
      </c>
      <c r="F239" s="6" t="s">
        <v>1405</v>
      </c>
      <c r="G239" s="6"/>
      <c r="H239" s="6" t="s">
        <v>1406</v>
      </c>
      <c r="I239" s="6" t="s">
        <v>172</v>
      </c>
      <c r="J239" s="18" t="str">
        <f>"40324"</f>
        <v>40324</v>
      </c>
      <c r="K239" s="6"/>
      <c r="L239" s="6" t="s">
        <v>22</v>
      </c>
      <c r="M239" s="6" t="s">
        <v>1407</v>
      </c>
      <c r="N239" s="7" t="s">
        <v>1408</v>
      </c>
    </row>
    <row r="240" spans="1:14" ht="15" x14ac:dyDescent="0.25">
      <c r="A240" s="18" t="s">
        <v>287</v>
      </c>
      <c r="B240" s="18" t="s">
        <v>3492</v>
      </c>
      <c r="C240" s="6"/>
      <c r="D240" s="6" t="s">
        <v>3493</v>
      </c>
      <c r="E240" s="6" t="s">
        <v>3494</v>
      </c>
      <c r="F240" s="6" t="s">
        <v>3495</v>
      </c>
      <c r="G240" s="6"/>
      <c r="H240" s="6" t="s">
        <v>38</v>
      </c>
      <c r="I240" s="6" t="s">
        <v>39</v>
      </c>
      <c r="J240" s="18">
        <v>20040</v>
      </c>
      <c r="K240" s="6"/>
      <c r="L240" s="6" t="s">
        <v>22</v>
      </c>
      <c r="M240" s="6" t="s">
        <v>3496</v>
      </c>
      <c r="N240" s="8" t="s">
        <v>3497</v>
      </c>
    </row>
    <row r="241" spans="1:14" ht="15" x14ac:dyDescent="0.25">
      <c r="A241" s="18" t="s">
        <v>2587</v>
      </c>
      <c r="B241" s="18" t="s">
        <v>2339</v>
      </c>
      <c r="C241" s="6" t="s">
        <v>1925</v>
      </c>
      <c r="D241" s="6" t="s">
        <v>1725</v>
      </c>
      <c r="E241" s="6" t="s">
        <v>270</v>
      </c>
      <c r="F241" s="6" t="s">
        <v>2584</v>
      </c>
      <c r="G241" s="6"/>
      <c r="H241" s="6" t="s">
        <v>364</v>
      </c>
      <c r="I241" s="6" t="s">
        <v>172</v>
      </c>
      <c r="J241" s="18" t="str">
        <f>"40622"</f>
        <v>40622</v>
      </c>
      <c r="K241" s="6"/>
      <c r="L241" s="6" t="s">
        <v>22</v>
      </c>
      <c r="M241" s="6" t="s">
        <v>2588</v>
      </c>
      <c r="N241" s="7" t="s">
        <v>2589</v>
      </c>
    </row>
    <row r="242" spans="1:14" ht="15" x14ac:dyDescent="0.25">
      <c r="A242" s="18" t="s">
        <v>439</v>
      </c>
      <c r="B242" s="18" t="s">
        <v>2805</v>
      </c>
      <c r="C242" s="6"/>
      <c r="D242" s="6" t="s">
        <v>2806</v>
      </c>
      <c r="E242" s="6" t="s">
        <v>2807</v>
      </c>
      <c r="F242" s="6" t="s">
        <v>2808</v>
      </c>
      <c r="G242" s="6"/>
      <c r="H242" s="6" t="s">
        <v>647</v>
      </c>
      <c r="I242" s="6" t="s">
        <v>30</v>
      </c>
      <c r="J242" s="18" t="str">
        <f>"22314"</f>
        <v>22314</v>
      </c>
      <c r="K242" s="6"/>
      <c r="L242" s="6" t="s">
        <v>22</v>
      </c>
      <c r="M242" s="6" t="s">
        <v>2809</v>
      </c>
      <c r="N242" s="7" t="s">
        <v>2810</v>
      </c>
    </row>
    <row r="243" spans="1:14" ht="15" x14ac:dyDescent="0.25">
      <c r="A243" s="18" t="s">
        <v>3498</v>
      </c>
      <c r="B243" s="18" t="s">
        <v>3499</v>
      </c>
      <c r="C243" s="6"/>
      <c r="D243" s="6" t="s">
        <v>3500</v>
      </c>
      <c r="E243" s="6" t="s">
        <v>3501</v>
      </c>
      <c r="F243" s="6" t="s">
        <v>3502</v>
      </c>
      <c r="G243" s="6"/>
      <c r="H243" s="6" t="s">
        <v>3503</v>
      </c>
      <c r="I243" s="6" t="s">
        <v>172</v>
      </c>
      <c r="J243" s="18">
        <v>42211</v>
      </c>
      <c r="K243" s="6"/>
      <c r="L243" s="6" t="s">
        <v>22</v>
      </c>
      <c r="M243" s="6" t="s">
        <v>3504</v>
      </c>
      <c r="N243" s="8" t="s">
        <v>3505</v>
      </c>
    </row>
    <row r="244" spans="1:14" ht="15" x14ac:dyDescent="0.25">
      <c r="A244" s="18" t="s">
        <v>308</v>
      </c>
      <c r="B244" s="18" t="s">
        <v>1458</v>
      </c>
      <c r="C244" s="6"/>
      <c r="D244" s="6" t="s">
        <v>1438</v>
      </c>
      <c r="E244" s="6" t="s">
        <v>1459</v>
      </c>
      <c r="F244" s="6" t="s">
        <v>1440</v>
      </c>
      <c r="G244" s="6" t="s">
        <v>1441</v>
      </c>
      <c r="H244" s="6" t="s">
        <v>1442</v>
      </c>
      <c r="I244" s="6" t="s">
        <v>1324</v>
      </c>
      <c r="J244" s="18" t="str">
        <f>"30334"</f>
        <v>30334</v>
      </c>
      <c r="K244" s="6"/>
      <c r="L244" s="6" t="s">
        <v>22</v>
      </c>
      <c r="M244" s="6" t="s">
        <v>1443</v>
      </c>
      <c r="N244" s="7" t="s">
        <v>1460</v>
      </c>
    </row>
    <row r="245" spans="1:14" ht="15" x14ac:dyDescent="0.25">
      <c r="A245" s="18" t="s">
        <v>1395</v>
      </c>
      <c r="B245" s="18" t="s">
        <v>1396</v>
      </c>
      <c r="C245" s="6"/>
      <c r="D245" s="6" t="s">
        <v>1397</v>
      </c>
      <c r="E245" s="6" t="s">
        <v>337</v>
      </c>
      <c r="F245" s="6" t="s">
        <v>1398</v>
      </c>
      <c r="G245" s="6" t="s">
        <v>1399</v>
      </c>
      <c r="H245" s="6" t="s">
        <v>1113</v>
      </c>
      <c r="I245" s="6" t="s">
        <v>1114</v>
      </c>
      <c r="J245" s="18" t="str">
        <f>"17110"</f>
        <v>17110</v>
      </c>
      <c r="K245" s="6"/>
      <c r="L245" s="6" t="s">
        <v>22</v>
      </c>
      <c r="M245" s="6" t="s">
        <v>1400</v>
      </c>
      <c r="N245" s="7" t="s">
        <v>1401</v>
      </c>
    </row>
    <row r="246" spans="1:14" ht="15" x14ac:dyDescent="0.25">
      <c r="A246" s="18" t="s">
        <v>218</v>
      </c>
      <c r="B246" s="18" t="s">
        <v>869</v>
      </c>
      <c r="C246" s="6"/>
      <c r="D246" s="6" t="s">
        <v>870</v>
      </c>
      <c r="E246" s="6" t="s">
        <v>871</v>
      </c>
      <c r="F246" s="6" t="s">
        <v>872</v>
      </c>
      <c r="G246" s="6" t="s">
        <v>873</v>
      </c>
      <c r="H246" s="6" t="s">
        <v>874</v>
      </c>
      <c r="I246" s="6" t="s">
        <v>875</v>
      </c>
      <c r="J246" s="18" t="str">
        <f>"37243-0341"</f>
        <v>37243-0341</v>
      </c>
      <c r="K246" s="6"/>
      <c r="L246" s="6" t="s">
        <v>22</v>
      </c>
      <c r="M246" s="6" t="s">
        <v>876</v>
      </c>
      <c r="N246" s="7" t="s">
        <v>877</v>
      </c>
    </row>
    <row r="247" spans="1:14" ht="15" x14ac:dyDescent="0.25">
      <c r="A247" s="18" t="s">
        <v>228</v>
      </c>
      <c r="B247" s="18" t="s">
        <v>229</v>
      </c>
      <c r="C247" s="6" t="s">
        <v>2934</v>
      </c>
      <c r="D247" s="6" t="s">
        <v>230</v>
      </c>
      <c r="E247" s="6" t="s">
        <v>231</v>
      </c>
      <c r="F247" s="6" t="s">
        <v>232</v>
      </c>
      <c r="G247" s="6"/>
      <c r="H247" s="6" t="s">
        <v>233</v>
      </c>
      <c r="I247" s="6" t="s">
        <v>172</v>
      </c>
      <c r="J247" s="18" t="str">
        <f>"42748"</f>
        <v>42748</v>
      </c>
      <c r="K247" s="6"/>
      <c r="L247" s="6" t="s">
        <v>22</v>
      </c>
      <c r="M247" s="6" t="s">
        <v>234</v>
      </c>
      <c r="N247" s="7" t="s">
        <v>235</v>
      </c>
    </row>
    <row r="248" spans="1:14" ht="15" x14ac:dyDescent="0.25">
      <c r="A248" s="18" t="s">
        <v>52</v>
      </c>
      <c r="B248" s="18" t="s">
        <v>53</v>
      </c>
      <c r="C248" s="6"/>
      <c r="D248" s="6" t="s">
        <v>54</v>
      </c>
      <c r="E248" s="6" t="s">
        <v>55</v>
      </c>
      <c r="F248" s="6" t="s">
        <v>56</v>
      </c>
      <c r="G248" s="6"/>
      <c r="H248" s="6" t="s">
        <v>57</v>
      </c>
      <c r="I248" s="6" t="s">
        <v>58</v>
      </c>
      <c r="J248" s="18" t="str">
        <f>"82009-3340"</f>
        <v>82009-3340</v>
      </c>
      <c r="K248" s="6"/>
      <c r="L248" s="6" t="s">
        <v>22</v>
      </c>
      <c r="M248" s="6" t="s">
        <v>59</v>
      </c>
      <c r="N248" s="7" t="s">
        <v>60</v>
      </c>
    </row>
    <row r="249" spans="1:14" ht="15" x14ac:dyDescent="0.25">
      <c r="A249" s="18" t="s">
        <v>668</v>
      </c>
      <c r="B249" s="18" t="s">
        <v>669</v>
      </c>
      <c r="C249" s="6"/>
      <c r="D249" s="6" t="s">
        <v>670</v>
      </c>
      <c r="E249" s="6" t="s">
        <v>318</v>
      </c>
      <c r="F249" s="6" t="s">
        <v>671</v>
      </c>
      <c r="G249" s="6"/>
      <c r="H249" s="6" t="s">
        <v>672</v>
      </c>
      <c r="I249" s="6" t="s">
        <v>137</v>
      </c>
      <c r="J249" s="18" t="str">
        <f>"96913"</f>
        <v>96913</v>
      </c>
      <c r="K249" s="6" t="s">
        <v>673</v>
      </c>
      <c r="L249" s="6" t="s">
        <v>22</v>
      </c>
      <c r="M249" s="6" t="s">
        <v>674</v>
      </c>
      <c r="N249" s="7" t="s">
        <v>675</v>
      </c>
    </row>
    <row r="250" spans="1:14" ht="15" x14ac:dyDescent="0.25">
      <c r="A250" s="18" t="s">
        <v>351</v>
      </c>
      <c r="B250" s="18" t="s">
        <v>352</v>
      </c>
      <c r="C250" s="6"/>
      <c r="D250" s="6" t="s">
        <v>353</v>
      </c>
      <c r="E250" s="6" t="s">
        <v>46</v>
      </c>
      <c r="F250" s="6" t="s">
        <v>354</v>
      </c>
      <c r="G250" s="6"/>
      <c r="H250" s="6" t="s">
        <v>355</v>
      </c>
      <c r="I250" s="6" t="s">
        <v>356</v>
      </c>
      <c r="J250" s="18" t="str">
        <f>"83616"</f>
        <v>83616</v>
      </c>
      <c r="K250" s="6"/>
      <c r="L250" s="6" t="s">
        <v>22</v>
      </c>
      <c r="M250" s="6" t="s">
        <v>357</v>
      </c>
      <c r="N250" s="7" t="s">
        <v>358</v>
      </c>
    </row>
    <row r="251" spans="1:14" ht="15" x14ac:dyDescent="0.25">
      <c r="A251" s="18" t="s">
        <v>1392</v>
      </c>
      <c r="B251" s="18" t="s">
        <v>352</v>
      </c>
      <c r="C251" s="6"/>
      <c r="D251" s="6" t="s">
        <v>1388</v>
      </c>
      <c r="E251" s="6" t="s">
        <v>277</v>
      </c>
      <c r="F251" s="6" t="s">
        <v>1389</v>
      </c>
      <c r="G251" s="6"/>
      <c r="H251" s="6" t="s">
        <v>928</v>
      </c>
      <c r="I251" s="6" t="s">
        <v>30</v>
      </c>
      <c r="J251" s="18" t="str">
        <f>"23269"</f>
        <v>23269</v>
      </c>
      <c r="K251" s="6"/>
      <c r="L251" s="6" t="s">
        <v>22</v>
      </c>
      <c r="M251" s="6" t="s">
        <v>1393</v>
      </c>
      <c r="N251" s="7" t="s">
        <v>1394</v>
      </c>
    </row>
    <row r="252" spans="1:14" ht="15" x14ac:dyDescent="0.25">
      <c r="A252" s="18" t="s">
        <v>1517</v>
      </c>
      <c r="B252" s="18" t="s">
        <v>1518</v>
      </c>
      <c r="C252" s="6"/>
      <c r="D252" s="6" t="s">
        <v>238</v>
      </c>
      <c r="E252" s="6" t="s">
        <v>1519</v>
      </c>
      <c r="F252" s="6" t="s">
        <v>240</v>
      </c>
      <c r="G252" s="6"/>
      <c r="H252" s="6" t="s">
        <v>241</v>
      </c>
      <c r="I252" s="6" t="s">
        <v>242</v>
      </c>
      <c r="J252" s="18" t="str">
        <f>"32114"</f>
        <v>32114</v>
      </c>
      <c r="K252" s="6"/>
      <c r="L252" s="6" t="s">
        <v>22</v>
      </c>
      <c r="M252" s="6" t="s">
        <v>1520</v>
      </c>
      <c r="N252" s="7" t="s">
        <v>1521</v>
      </c>
    </row>
    <row r="253" spans="1:14" ht="15" x14ac:dyDescent="0.25">
      <c r="A253" s="18" t="s">
        <v>2252</v>
      </c>
      <c r="B253" s="18" t="s">
        <v>1522</v>
      </c>
      <c r="C253" s="6"/>
      <c r="D253" s="6" t="s">
        <v>2862</v>
      </c>
      <c r="E253" s="6" t="s">
        <v>2863</v>
      </c>
      <c r="F253" s="6" t="s">
        <v>2864</v>
      </c>
      <c r="G253" s="6"/>
      <c r="H253" s="6" t="s">
        <v>325</v>
      </c>
      <c r="I253" s="6" t="s">
        <v>326</v>
      </c>
      <c r="J253" s="18" t="str">
        <f>"27601-1552"</f>
        <v>27601-1552</v>
      </c>
      <c r="K253" s="6"/>
      <c r="L253" s="6" t="s">
        <v>22</v>
      </c>
      <c r="M253" s="29" t="s">
        <v>3344</v>
      </c>
      <c r="N253" s="8" t="s">
        <v>3343</v>
      </c>
    </row>
    <row r="254" spans="1:14" ht="15" x14ac:dyDescent="0.25">
      <c r="A254" s="18" t="s">
        <v>2333</v>
      </c>
      <c r="B254" s="18" t="s">
        <v>811</v>
      </c>
      <c r="C254" s="6"/>
      <c r="D254" s="6" t="s">
        <v>2317</v>
      </c>
      <c r="E254" s="6" t="s">
        <v>1894</v>
      </c>
      <c r="F254" s="6" t="s">
        <v>2318</v>
      </c>
      <c r="G254" s="6"/>
      <c r="H254" s="6" t="s">
        <v>364</v>
      </c>
      <c r="I254" s="6" t="s">
        <v>172</v>
      </c>
      <c r="J254" s="18" t="str">
        <f>"40601"</f>
        <v>40601</v>
      </c>
      <c r="K254" s="6"/>
      <c r="L254" s="6" t="s">
        <v>22</v>
      </c>
      <c r="M254" s="6" t="s">
        <v>2323</v>
      </c>
      <c r="N254" s="7" t="s">
        <v>2334</v>
      </c>
    </row>
    <row r="255" spans="1:14" ht="15" x14ac:dyDescent="0.25">
      <c r="A255" s="18" t="s">
        <v>113</v>
      </c>
      <c r="B255" s="18" t="s">
        <v>811</v>
      </c>
      <c r="C255" s="6"/>
      <c r="D255" s="6" t="s">
        <v>909</v>
      </c>
      <c r="E255" s="6" t="s">
        <v>248</v>
      </c>
      <c r="F255" s="6" t="s">
        <v>910</v>
      </c>
      <c r="G255" s="6"/>
      <c r="H255" s="6" t="s">
        <v>911</v>
      </c>
      <c r="I255" s="6" t="s">
        <v>172</v>
      </c>
      <c r="J255" s="18" t="str">
        <f>"40361"</f>
        <v>40361</v>
      </c>
      <c r="K255" s="6"/>
      <c r="L255" s="6" t="s">
        <v>22</v>
      </c>
      <c r="M255" s="6" t="s">
        <v>912</v>
      </c>
      <c r="N255" s="7" t="s">
        <v>913</v>
      </c>
    </row>
    <row r="256" spans="1:14" ht="15" x14ac:dyDescent="0.25">
      <c r="A256" s="18" t="s">
        <v>809</v>
      </c>
      <c r="B256" s="18" t="s">
        <v>811</v>
      </c>
      <c r="C256" s="6" t="s">
        <v>812</v>
      </c>
      <c r="D256" s="6" t="s">
        <v>813</v>
      </c>
      <c r="E256" s="6" t="s">
        <v>814</v>
      </c>
      <c r="F256" s="6" t="s">
        <v>815</v>
      </c>
      <c r="G256" s="6"/>
      <c r="H256" s="6" t="s">
        <v>816</v>
      </c>
      <c r="I256" s="6" t="s">
        <v>21</v>
      </c>
      <c r="J256" s="18" t="str">
        <f>"21613"</f>
        <v>21613</v>
      </c>
      <c r="K256" s="6"/>
      <c r="L256" s="6" t="s">
        <v>22</v>
      </c>
      <c r="M256" s="6" t="s">
        <v>817</v>
      </c>
      <c r="N256" s="7" t="s">
        <v>818</v>
      </c>
    </row>
    <row r="257" spans="1:14" ht="15" x14ac:dyDescent="0.25">
      <c r="A257" s="18" t="s">
        <v>959</v>
      </c>
      <c r="B257" s="18" t="s">
        <v>960</v>
      </c>
      <c r="C257" s="6"/>
      <c r="D257" s="6" t="s">
        <v>961</v>
      </c>
      <c r="E257" s="6" t="s">
        <v>962</v>
      </c>
      <c r="F257" s="6" t="s">
        <v>963</v>
      </c>
      <c r="G257" s="6"/>
      <c r="H257" s="6" t="s">
        <v>964</v>
      </c>
      <c r="I257" s="6" t="s">
        <v>49</v>
      </c>
      <c r="J257" s="18" t="str">
        <f>"08844"</f>
        <v>08844</v>
      </c>
      <c r="K257" s="6"/>
      <c r="L257" s="6" t="s">
        <v>22</v>
      </c>
      <c r="M257" s="6" t="s">
        <v>965</v>
      </c>
      <c r="N257" s="7" t="s">
        <v>966</v>
      </c>
    </row>
    <row r="258" spans="1:14" ht="15" x14ac:dyDescent="0.25">
      <c r="A258" s="18" t="s">
        <v>1966</v>
      </c>
      <c r="B258" s="18" t="s">
        <v>1967</v>
      </c>
      <c r="C258" s="6"/>
      <c r="D258" s="6" t="s">
        <v>1968</v>
      </c>
      <c r="E258" s="6" t="s">
        <v>634</v>
      </c>
      <c r="F258" s="6" t="s">
        <v>1969</v>
      </c>
      <c r="G258" s="6"/>
      <c r="H258" s="6" t="s">
        <v>1970</v>
      </c>
      <c r="I258" s="6" t="s">
        <v>1114</v>
      </c>
      <c r="J258" s="18" t="str">
        <f>"19143"</f>
        <v>19143</v>
      </c>
      <c r="K258" s="6"/>
      <c r="L258" s="6" t="s">
        <v>22</v>
      </c>
      <c r="M258" s="6" t="s">
        <v>1971</v>
      </c>
      <c r="N258" s="7" t="s">
        <v>1972</v>
      </c>
    </row>
    <row r="259" spans="1:14" ht="15" x14ac:dyDescent="0.25">
      <c r="A259" s="18" t="s">
        <v>121</v>
      </c>
      <c r="B259" s="18" t="s">
        <v>737</v>
      </c>
      <c r="C259" s="6"/>
      <c r="D259" s="6" t="s">
        <v>2117</v>
      </c>
      <c r="E259" s="6" t="s">
        <v>270</v>
      </c>
      <c r="F259" s="6" t="s">
        <v>3212</v>
      </c>
      <c r="G259" s="6"/>
      <c r="H259" s="6" t="s">
        <v>1834</v>
      </c>
      <c r="I259" s="6" t="s">
        <v>30</v>
      </c>
      <c r="J259" s="18" t="str">
        <f>"22152-5172"</f>
        <v>22152-5172</v>
      </c>
      <c r="K259" s="6"/>
      <c r="L259" s="6" t="s">
        <v>22</v>
      </c>
      <c r="M259" s="6" t="s">
        <v>3213</v>
      </c>
      <c r="N259" s="7" t="s">
        <v>3214</v>
      </c>
    </row>
    <row r="260" spans="1:14" ht="15" x14ac:dyDescent="0.25">
      <c r="A260" s="18" t="s">
        <v>588</v>
      </c>
      <c r="B260" s="18" t="s">
        <v>737</v>
      </c>
      <c r="C260" s="6"/>
      <c r="D260" s="6" t="s">
        <v>3467</v>
      </c>
      <c r="E260" s="6" t="s">
        <v>231</v>
      </c>
      <c r="F260" s="6" t="s">
        <v>3468</v>
      </c>
      <c r="G260" s="6"/>
      <c r="H260" s="6" t="s">
        <v>3469</v>
      </c>
      <c r="I260" s="6" t="s">
        <v>326</v>
      </c>
      <c r="J260" s="18">
        <v>28379</v>
      </c>
      <c r="K260" s="6"/>
      <c r="L260" s="6" t="s">
        <v>22</v>
      </c>
      <c r="M260" s="6" t="s">
        <v>3470</v>
      </c>
      <c r="N260" s="8" t="s">
        <v>3471</v>
      </c>
    </row>
    <row r="261" spans="1:14" ht="15" x14ac:dyDescent="0.25">
      <c r="A261" s="18" t="s">
        <v>1634</v>
      </c>
      <c r="B261" s="18" t="s">
        <v>1661</v>
      </c>
      <c r="C261" s="6"/>
      <c r="D261" s="6" t="s">
        <v>1662</v>
      </c>
      <c r="E261" s="6"/>
      <c r="F261" s="6" t="s">
        <v>1663</v>
      </c>
      <c r="G261" s="6"/>
      <c r="H261" s="6" t="s">
        <v>313</v>
      </c>
      <c r="I261" s="6" t="s">
        <v>172</v>
      </c>
      <c r="J261" s="18" t="str">
        <f>"41031"</f>
        <v>41031</v>
      </c>
      <c r="K261" s="6"/>
      <c r="L261" s="6" t="s">
        <v>22</v>
      </c>
      <c r="M261" s="6" t="s">
        <v>1664</v>
      </c>
      <c r="N261" s="7" t="s">
        <v>1665</v>
      </c>
    </row>
    <row r="262" spans="1:14" ht="15" x14ac:dyDescent="0.25">
      <c r="A262" s="18" t="s">
        <v>2616</v>
      </c>
      <c r="B262" s="18" t="s">
        <v>2617</v>
      </c>
      <c r="C262" s="6"/>
      <c r="D262" s="6" t="s">
        <v>1725</v>
      </c>
      <c r="E262" s="6" t="s">
        <v>2618</v>
      </c>
      <c r="F262" s="6" t="s">
        <v>2584</v>
      </c>
      <c r="G262" s="6"/>
      <c r="H262" s="6" t="s">
        <v>364</v>
      </c>
      <c r="I262" s="6" t="s">
        <v>172</v>
      </c>
      <c r="J262" s="18" t="str">
        <f>"40622"</f>
        <v>40622</v>
      </c>
      <c r="K262" s="6"/>
      <c r="L262" s="6" t="s">
        <v>22</v>
      </c>
      <c r="M262" s="6" t="s">
        <v>2619</v>
      </c>
      <c r="N262" s="7" t="s">
        <v>2620</v>
      </c>
    </row>
    <row r="263" spans="1:14" ht="15" x14ac:dyDescent="0.25">
      <c r="A263" s="18" t="s">
        <v>3297</v>
      </c>
      <c r="B263" s="18" t="s">
        <v>3298</v>
      </c>
      <c r="C263" s="6"/>
      <c r="D263" s="6" t="s">
        <v>1750</v>
      </c>
      <c r="E263" s="6" t="s">
        <v>1751</v>
      </c>
      <c r="F263" s="6" t="s">
        <v>1752</v>
      </c>
      <c r="G263" s="6"/>
      <c r="H263" s="6" t="s">
        <v>1672</v>
      </c>
      <c r="I263" s="6" t="s">
        <v>1673</v>
      </c>
      <c r="J263" s="18" t="str">
        <f>"66612"</f>
        <v>66612</v>
      </c>
      <c r="K263" s="6"/>
      <c r="L263" s="6" t="s">
        <v>22</v>
      </c>
      <c r="M263" s="6" t="s">
        <v>3299</v>
      </c>
      <c r="N263" s="8" t="s">
        <v>3300</v>
      </c>
    </row>
    <row r="264" spans="1:14" ht="15" x14ac:dyDescent="0.25">
      <c r="A264" s="18" t="s">
        <v>236</v>
      </c>
      <c r="B264" s="18" t="s">
        <v>1693</v>
      </c>
      <c r="C264" s="6"/>
      <c r="D264" s="6" t="s">
        <v>1694</v>
      </c>
      <c r="E264" s="6" t="s">
        <v>1695</v>
      </c>
      <c r="F264" s="6" t="s">
        <v>1696</v>
      </c>
      <c r="G264" s="6"/>
      <c r="H264" s="6" t="s">
        <v>1697</v>
      </c>
      <c r="I264" s="6" t="s">
        <v>454</v>
      </c>
      <c r="J264" s="18" t="str">
        <f>"62629"</f>
        <v>62629</v>
      </c>
      <c r="K264" s="6"/>
      <c r="L264" s="6" t="s">
        <v>22</v>
      </c>
      <c r="M264" s="6" t="s">
        <v>1698</v>
      </c>
      <c r="N264" s="7" t="s">
        <v>1699</v>
      </c>
    </row>
    <row r="265" spans="1:14" ht="15" x14ac:dyDescent="0.25">
      <c r="A265" s="18" t="s">
        <v>967</v>
      </c>
      <c r="B265" s="18" t="s">
        <v>968</v>
      </c>
      <c r="C265" s="6"/>
      <c r="D265" s="6" t="s">
        <v>969</v>
      </c>
      <c r="E265" s="6"/>
      <c r="F265" s="6" t="s">
        <v>970</v>
      </c>
      <c r="G265" s="6"/>
      <c r="H265" s="6" t="s">
        <v>971</v>
      </c>
      <c r="I265" s="6" t="s">
        <v>172</v>
      </c>
      <c r="J265" s="18" t="str">
        <f>"40741"</f>
        <v>40741</v>
      </c>
      <c r="K265" s="6"/>
      <c r="L265" s="6" t="s">
        <v>22</v>
      </c>
      <c r="M265" s="6" t="s">
        <v>972</v>
      </c>
      <c r="N265" s="7" t="s">
        <v>973</v>
      </c>
    </row>
    <row r="266" spans="1:14" ht="15" x14ac:dyDescent="0.25">
      <c r="A266" s="18" t="s">
        <v>825</v>
      </c>
      <c r="B266" s="18" t="s">
        <v>826</v>
      </c>
      <c r="C266" s="6"/>
      <c r="D266" s="6" t="s">
        <v>827</v>
      </c>
      <c r="E266" s="6" t="s">
        <v>828</v>
      </c>
      <c r="F266" s="6" t="s">
        <v>829</v>
      </c>
      <c r="G266" s="6" t="s">
        <v>830</v>
      </c>
      <c r="H266" s="6" t="s">
        <v>816</v>
      </c>
      <c r="I266" s="6" t="s">
        <v>68</v>
      </c>
      <c r="J266" s="18" t="str">
        <f>"02142"</f>
        <v>02142</v>
      </c>
      <c r="K266" s="6"/>
      <c r="L266" s="6" t="s">
        <v>22</v>
      </c>
      <c r="M266" s="6" t="s">
        <v>831</v>
      </c>
      <c r="N266" s="7" t="s">
        <v>832</v>
      </c>
    </row>
    <row r="267" spans="1:14" ht="15" x14ac:dyDescent="0.25">
      <c r="A267" s="18" t="s">
        <v>603</v>
      </c>
      <c r="B267" s="18" t="s">
        <v>2519</v>
      </c>
      <c r="C267" s="6"/>
      <c r="D267" s="6" t="s">
        <v>2520</v>
      </c>
      <c r="E267" s="6" t="s">
        <v>2521</v>
      </c>
      <c r="F267" s="6" t="s">
        <v>2522</v>
      </c>
      <c r="G267" s="6"/>
      <c r="H267" s="6" t="s">
        <v>2523</v>
      </c>
      <c r="I267" s="6" t="s">
        <v>356</v>
      </c>
      <c r="J267" s="18" t="str">
        <f>"83669"</f>
        <v>83669</v>
      </c>
      <c r="K267" s="6"/>
      <c r="L267" s="6" t="s">
        <v>22</v>
      </c>
      <c r="M267" s="6" t="s">
        <v>2524</v>
      </c>
      <c r="N267" s="7" t="s">
        <v>2525</v>
      </c>
    </row>
    <row r="268" spans="1:14" ht="15" x14ac:dyDescent="0.25">
      <c r="A268" s="18" t="s">
        <v>2478</v>
      </c>
      <c r="B268" s="18" t="s">
        <v>2479</v>
      </c>
      <c r="C268" s="6"/>
      <c r="D268" s="6" t="s">
        <v>2480</v>
      </c>
      <c r="E268" s="6" t="s">
        <v>1940</v>
      </c>
      <c r="F268" s="6" t="s">
        <v>2481</v>
      </c>
      <c r="G268" s="6"/>
      <c r="H268" s="6" t="s">
        <v>2482</v>
      </c>
      <c r="I268" s="6" t="s">
        <v>30</v>
      </c>
      <c r="J268" s="18" t="str">
        <f>"24060"</f>
        <v>24060</v>
      </c>
      <c r="K268" s="6"/>
      <c r="L268" s="6" t="s">
        <v>22</v>
      </c>
      <c r="M268" s="6" t="s">
        <v>2483</v>
      </c>
      <c r="N268" s="7" t="s">
        <v>2484</v>
      </c>
    </row>
    <row r="269" spans="1:14" x14ac:dyDescent="0.3">
      <c r="A269" s="18" t="s">
        <v>3304</v>
      </c>
      <c r="B269" s="18" t="s">
        <v>1896</v>
      </c>
      <c r="C269" s="6"/>
      <c r="D269" s="6" t="s">
        <v>1897</v>
      </c>
      <c r="E269" s="6"/>
      <c r="F269" s="6" t="s">
        <v>1898</v>
      </c>
      <c r="G269" s="6"/>
      <c r="H269" s="6" t="s">
        <v>38</v>
      </c>
      <c r="I269" s="6" t="s">
        <v>39</v>
      </c>
      <c r="J269" s="18" t="str">
        <f>"20001"</f>
        <v>20001</v>
      </c>
      <c r="K269" s="6"/>
      <c r="L269" s="6" t="s">
        <v>22</v>
      </c>
      <c r="M269" s="6" t="s">
        <v>1899</v>
      </c>
      <c r="N269" s="7" t="s">
        <v>1900</v>
      </c>
    </row>
    <row r="270" spans="1:14" x14ac:dyDescent="0.3">
      <c r="A270" s="18" t="s">
        <v>236</v>
      </c>
      <c r="B270" s="18" t="s">
        <v>237</v>
      </c>
      <c r="C270" s="6"/>
      <c r="D270" s="6" t="s">
        <v>238</v>
      </c>
      <c r="E270" s="6" t="s">
        <v>239</v>
      </c>
      <c r="F270" s="6" t="s">
        <v>240</v>
      </c>
      <c r="G270" s="6"/>
      <c r="H270" s="6" t="s">
        <v>241</v>
      </c>
      <c r="I270" s="6" t="s">
        <v>242</v>
      </c>
      <c r="J270" s="18" t="str">
        <f>"32114"</f>
        <v>32114</v>
      </c>
      <c r="K270" s="6"/>
      <c r="L270" s="6" t="s">
        <v>22</v>
      </c>
      <c r="M270" s="6" t="s">
        <v>243</v>
      </c>
      <c r="N270" s="7" t="s">
        <v>244</v>
      </c>
    </row>
    <row r="271" spans="1:14" x14ac:dyDescent="0.3">
      <c r="A271" s="18" t="s">
        <v>150</v>
      </c>
      <c r="B271" s="18" t="s">
        <v>151</v>
      </c>
      <c r="C271" s="6"/>
      <c r="D271" s="6" t="s">
        <v>3305</v>
      </c>
      <c r="E271" s="6"/>
      <c r="F271" s="6" t="s">
        <v>152</v>
      </c>
      <c r="G271" s="6"/>
      <c r="H271" s="6" t="s">
        <v>153</v>
      </c>
      <c r="I271" s="6" t="s">
        <v>154</v>
      </c>
      <c r="J271" s="18" t="str">
        <f>"46220"</f>
        <v>46220</v>
      </c>
      <c r="K271" s="6"/>
      <c r="L271" s="6" t="s">
        <v>22</v>
      </c>
      <c r="M271" s="6" t="s">
        <v>155</v>
      </c>
      <c r="N271" s="7" t="s">
        <v>156</v>
      </c>
    </row>
    <row r="272" spans="1:14" x14ac:dyDescent="0.3">
      <c r="A272" s="18" t="s">
        <v>1193</v>
      </c>
      <c r="B272" s="18" t="s">
        <v>1194</v>
      </c>
      <c r="C272" s="6"/>
      <c r="D272" s="6" t="s">
        <v>1195</v>
      </c>
      <c r="E272" s="6" t="s">
        <v>248</v>
      </c>
      <c r="F272" s="6" t="s">
        <v>1196</v>
      </c>
      <c r="G272" s="6"/>
      <c r="H272" s="6" t="s">
        <v>1197</v>
      </c>
      <c r="I272" s="6" t="s">
        <v>172</v>
      </c>
      <c r="J272" s="18" t="str">
        <f>"42071"</f>
        <v>42071</v>
      </c>
      <c r="K272" s="6"/>
      <c r="L272" s="6" t="s">
        <v>22</v>
      </c>
      <c r="M272" s="6" t="s">
        <v>1198</v>
      </c>
      <c r="N272" s="7" t="s">
        <v>1199</v>
      </c>
    </row>
    <row r="273" spans="1:14" x14ac:dyDescent="0.3">
      <c r="A273" s="18" t="s">
        <v>2661</v>
      </c>
      <c r="B273" s="18" t="s">
        <v>2760</v>
      </c>
      <c r="C273" s="6"/>
      <c r="D273" s="6" t="s">
        <v>2761</v>
      </c>
      <c r="E273" s="6" t="s">
        <v>534</v>
      </c>
      <c r="F273" s="6" t="s">
        <v>2762</v>
      </c>
      <c r="G273" s="6"/>
      <c r="H273" s="6" t="s">
        <v>2763</v>
      </c>
      <c r="I273" s="6" t="s">
        <v>172</v>
      </c>
      <c r="J273" s="18" t="str">
        <f>"40906"</f>
        <v>40906</v>
      </c>
      <c r="K273" s="6"/>
      <c r="L273" s="6" t="s">
        <v>22</v>
      </c>
      <c r="M273" s="6" t="s">
        <v>2764</v>
      </c>
      <c r="N273" s="7" t="s">
        <v>2765</v>
      </c>
    </row>
    <row r="274" spans="1:14" x14ac:dyDescent="0.3">
      <c r="A274" s="18" t="s">
        <v>1014</v>
      </c>
      <c r="B274" s="18" t="s">
        <v>2275</v>
      </c>
      <c r="C274" s="6"/>
      <c r="D274" s="6" t="s">
        <v>2266</v>
      </c>
      <c r="E274" s="6" t="s">
        <v>2276</v>
      </c>
      <c r="F274" s="6" t="s">
        <v>2267</v>
      </c>
      <c r="G274" s="6"/>
      <c r="H274" s="6" t="s">
        <v>325</v>
      </c>
      <c r="I274" s="6" t="s">
        <v>326</v>
      </c>
      <c r="J274" s="18" t="str">
        <f>"27609"</f>
        <v>27609</v>
      </c>
      <c r="K274" s="6"/>
      <c r="L274" s="6" t="s">
        <v>22</v>
      </c>
      <c r="M274" s="6" t="s">
        <v>2268</v>
      </c>
      <c r="N274" s="7" t="s">
        <v>2277</v>
      </c>
    </row>
    <row r="275" spans="1:14" x14ac:dyDescent="0.3">
      <c r="A275" s="18" t="s">
        <v>1124</v>
      </c>
      <c r="B275" s="18" t="s">
        <v>1901</v>
      </c>
      <c r="C275" s="6" t="s">
        <v>1037</v>
      </c>
      <c r="D275" s="6" t="s">
        <v>3345</v>
      </c>
      <c r="E275" s="6" t="s">
        <v>3346</v>
      </c>
      <c r="F275" s="27" t="s">
        <v>3349</v>
      </c>
      <c r="G275" s="6"/>
      <c r="H275" s="6" t="s">
        <v>67</v>
      </c>
      <c r="I275" s="6" t="s">
        <v>68</v>
      </c>
      <c r="J275" s="18">
        <v>2201</v>
      </c>
      <c r="K275" s="6"/>
      <c r="L275" s="6" t="s">
        <v>22</v>
      </c>
      <c r="M275" s="6" t="s">
        <v>3347</v>
      </c>
      <c r="N275" s="8" t="s">
        <v>3348</v>
      </c>
    </row>
    <row r="276" spans="1:14" x14ac:dyDescent="0.3">
      <c r="A276" s="18" t="s">
        <v>1014</v>
      </c>
      <c r="B276" s="18" t="s">
        <v>1901</v>
      </c>
      <c r="C276" s="6"/>
      <c r="D276" s="6" t="s">
        <v>1694</v>
      </c>
      <c r="E276" s="6" t="s">
        <v>862</v>
      </c>
      <c r="F276" s="27" t="s">
        <v>1902</v>
      </c>
      <c r="G276" s="6"/>
      <c r="H276" s="6" t="s">
        <v>1903</v>
      </c>
      <c r="I276" s="6" t="s">
        <v>454</v>
      </c>
      <c r="J276" s="18" t="str">
        <f>"60089"</f>
        <v>60089</v>
      </c>
      <c r="K276" s="6"/>
      <c r="L276" s="6" t="s">
        <v>22</v>
      </c>
      <c r="M276" s="6" t="s">
        <v>1904</v>
      </c>
      <c r="N276" s="7" t="s">
        <v>1905</v>
      </c>
    </row>
    <row r="277" spans="1:14" x14ac:dyDescent="0.3">
      <c r="A277" s="18" t="s">
        <v>801</v>
      </c>
      <c r="B277" s="18" t="s">
        <v>1108</v>
      </c>
      <c r="C277" s="6"/>
      <c r="D277" s="6" t="s">
        <v>1109</v>
      </c>
      <c r="E277" s="6" t="s">
        <v>1110</v>
      </c>
      <c r="F277" s="27" t="s">
        <v>1111</v>
      </c>
      <c r="G277" s="6" t="s">
        <v>1112</v>
      </c>
      <c r="H277" s="6" t="s">
        <v>1113</v>
      </c>
      <c r="I277" s="6" t="s">
        <v>1114</v>
      </c>
      <c r="J277" s="18" t="str">
        <f>"17104"</f>
        <v>17104</v>
      </c>
      <c r="K277" s="6"/>
      <c r="L277" s="6" t="s">
        <v>22</v>
      </c>
      <c r="M277" s="6" t="s">
        <v>1115</v>
      </c>
      <c r="N277" s="7" t="s">
        <v>1116</v>
      </c>
    </row>
    <row r="278" spans="1:14" x14ac:dyDescent="0.3">
      <c r="A278" s="18" t="s">
        <v>348</v>
      </c>
      <c r="B278" s="18" t="s">
        <v>349</v>
      </c>
      <c r="C278" s="6"/>
      <c r="D278" s="6" t="s">
        <v>336</v>
      </c>
      <c r="E278" s="6" t="s">
        <v>206</v>
      </c>
      <c r="F278" s="6" t="s">
        <v>338</v>
      </c>
      <c r="G278" s="6"/>
      <c r="H278" s="6" t="s">
        <v>339</v>
      </c>
      <c r="I278" s="6" t="s">
        <v>280</v>
      </c>
      <c r="J278" s="18" t="str">
        <f>"98668"</f>
        <v>98668</v>
      </c>
      <c r="K278" s="6"/>
      <c r="L278" s="6" t="s">
        <v>22</v>
      </c>
      <c r="M278" s="6" t="s">
        <v>340</v>
      </c>
      <c r="N278" s="7" t="s">
        <v>350</v>
      </c>
    </row>
    <row r="279" spans="1:14" x14ac:dyDescent="0.3">
      <c r="A279" s="18" t="s">
        <v>713</v>
      </c>
      <c r="B279" s="18" t="s">
        <v>1213</v>
      </c>
      <c r="C279" s="6"/>
      <c r="D279" s="6" t="s">
        <v>1214</v>
      </c>
      <c r="E279" s="6" t="s">
        <v>851</v>
      </c>
      <c r="F279" s="6" t="s">
        <v>1215</v>
      </c>
      <c r="G279" s="6"/>
      <c r="H279" s="6" t="s">
        <v>1216</v>
      </c>
      <c r="I279" s="6" t="s">
        <v>1217</v>
      </c>
      <c r="J279" s="18" t="str">
        <f>"36362"</f>
        <v>36362</v>
      </c>
      <c r="K279" s="6"/>
      <c r="L279" s="6" t="s">
        <v>22</v>
      </c>
      <c r="M279" s="6" t="s">
        <v>1218</v>
      </c>
      <c r="N279" s="7" t="s">
        <v>1219</v>
      </c>
    </row>
    <row r="280" spans="1:14" x14ac:dyDescent="0.3">
      <c r="A280" s="18" t="s">
        <v>784</v>
      </c>
      <c r="B280" s="18" t="s">
        <v>785</v>
      </c>
      <c r="C280" s="6"/>
      <c r="D280" s="6" t="s">
        <v>786</v>
      </c>
      <c r="E280" s="6" t="s">
        <v>787</v>
      </c>
      <c r="F280" s="6" t="s">
        <v>783</v>
      </c>
      <c r="G280" s="6"/>
      <c r="H280" s="6" t="s">
        <v>779</v>
      </c>
      <c r="I280" s="6" t="s">
        <v>780</v>
      </c>
      <c r="J280" s="18" t="str">
        <f>"87104"</f>
        <v>87104</v>
      </c>
      <c r="K280" s="6"/>
      <c r="L280" s="6" t="s">
        <v>22</v>
      </c>
      <c r="M280" s="6" t="s">
        <v>781</v>
      </c>
      <c r="N280" s="7" t="s">
        <v>782</v>
      </c>
    </row>
    <row r="281" spans="1:14" x14ac:dyDescent="0.3">
      <c r="A281" s="18" t="s">
        <v>977</v>
      </c>
      <c r="B281" s="18" t="s">
        <v>978</v>
      </c>
      <c r="C281" s="6"/>
      <c r="D281" s="6" t="s">
        <v>979</v>
      </c>
      <c r="E281" s="6" t="s">
        <v>980</v>
      </c>
      <c r="F281" s="6" t="s">
        <v>981</v>
      </c>
      <c r="G281" s="6" t="s">
        <v>982</v>
      </c>
      <c r="H281" s="6" t="s">
        <v>983</v>
      </c>
      <c r="I281" s="6" t="s">
        <v>984</v>
      </c>
      <c r="J281" s="18" t="str">
        <f>"05633"</f>
        <v>05633</v>
      </c>
      <c r="K281" s="6"/>
      <c r="L281" s="6" t="s">
        <v>22</v>
      </c>
      <c r="M281" s="6" t="s">
        <v>985</v>
      </c>
      <c r="N281" s="7" t="s">
        <v>986</v>
      </c>
    </row>
    <row r="282" spans="1:14" x14ac:dyDescent="0.3">
      <c r="A282" s="18" t="s">
        <v>218</v>
      </c>
      <c r="B282" s="18" t="s">
        <v>2151</v>
      </c>
      <c r="C282" s="6"/>
      <c r="D282" s="6" t="s">
        <v>238</v>
      </c>
      <c r="E282" s="6" t="s">
        <v>239</v>
      </c>
      <c r="F282" s="6" t="s">
        <v>2152</v>
      </c>
      <c r="G282" s="6"/>
      <c r="H282" s="6" t="s">
        <v>241</v>
      </c>
      <c r="I282" s="6" t="s">
        <v>242</v>
      </c>
      <c r="J282" s="18" t="str">
        <f>"32114"</f>
        <v>32114</v>
      </c>
      <c r="K282" s="6"/>
      <c r="L282" s="6" t="s">
        <v>22</v>
      </c>
      <c r="M282" s="6" t="s">
        <v>243</v>
      </c>
      <c r="N282" s="7" t="s">
        <v>2153</v>
      </c>
    </row>
    <row r="283" spans="1:14" x14ac:dyDescent="0.3">
      <c r="A283" s="18" t="s">
        <v>720</v>
      </c>
      <c r="B283" s="18" t="s">
        <v>721</v>
      </c>
      <c r="C283" s="6"/>
      <c r="D283" s="6" t="s">
        <v>3305</v>
      </c>
      <c r="E283" s="6" t="s">
        <v>722</v>
      </c>
      <c r="F283" s="6" t="s">
        <v>723</v>
      </c>
      <c r="G283" s="6"/>
      <c r="H283" s="6" t="s">
        <v>724</v>
      </c>
      <c r="I283" s="6" t="s">
        <v>725</v>
      </c>
      <c r="J283" s="18" t="str">
        <f>"43230"</f>
        <v>43230</v>
      </c>
      <c r="K283" s="6"/>
      <c r="L283" s="6" t="s">
        <v>22</v>
      </c>
      <c r="M283" s="6" t="s">
        <v>726</v>
      </c>
      <c r="N283" s="7" t="s">
        <v>727</v>
      </c>
    </row>
    <row r="284" spans="1:14" x14ac:dyDescent="0.3">
      <c r="A284" s="18" t="s">
        <v>639</v>
      </c>
      <c r="B284" s="18" t="s">
        <v>640</v>
      </c>
      <c r="C284" s="6"/>
      <c r="D284" s="6" t="s">
        <v>581</v>
      </c>
      <c r="E284" s="6" t="s">
        <v>641</v>
      </c>
      <c r="F284" s="6" t="s">
        <v>582</v>
      </c>
      <c r="G284" s="6" t="s">
        <v>583</v>
      </c>
      <c r="H284" s="6" t="s">
        <v>584</v>
      </c>
      <c r="I284" s="6" t="s">
        <v>585</v>
      </c>
      <c r="J284" s="18" t="str">
        <f>"84116"</f>
        <v>84116</v>
      </c>
      <c r="K284" s="6"/>
      <c r="L284" s="6" t="s">
        <v>22</v>
      </c>
      <c r="M284" s="6" t="s">
        <v>611</v>
      </c>
      <c r="N284" s="7" t="s">
        <v>642</v>
      </c>
    </row>
    <row r="285" spans="1:14" x14ac:dyDescent="0.3">
      <c r="A285" s="18" t="s">
        <v>61</v>
      </c>
      <c r="B285" s="18" t="s">
        <v>62</v>
      </c>
      <c r="C285" s="6"/>
      <c r="D285" s="6" t="s">
        <v>63</v>
      </c>
      <c r="E285" s="6" t="s">
        <v>64</v>
      </c>
      <c r="F285" s="6" t="s">
        <v>65</v>
      </c>
      <c r="G285" s="6" t="s">
        <v>66</v>
      </c>
      <c r="H285" s="6" t="s">
        <v>67</v>
      </c>
      <c r="I285" s="6" t="s">
        <v>68</v>
      </c>
      <c r="J285" s="18" t="str">
        <f>"02116"</f>
        <v>02116</v>
      </c>
      <c r="K285" s="6"/>
      <c r="L285" s="6" t="s">
        <v>22</v>
      </c>
      <c r="M285" s="6" t="s">
        <v>69</v>
      </c>
      <c r="N285" s="7" t="s">
        <v>70</v>
      </c>
    </row>
    <row r="286" spans="1:14" x14ac:dyDescent="0.3">
      <c r="A286" s="18" t="s">
        <v>2722</v>
      </c>
      <c r="B286" s="18" t="s">
        <v>2723</v>
      </c>
      <c r="C286" s="6"/>
      <c r="D286" s="6" t="s">
        <v>2724</v>
      </c>
      <c r="E286" s="6" t="s">
        <v>2725</v>
      </c>
      <c r="F286" s="6" t="s">
        <v>2726</v>
      </c>
      <c r="G286" s="6" t="s">
        <v>2727</v>
      </c>
      <c r="H286" s="6" t="s">
        <v>544</v>
      </c>
      <c r="I286" s="6" t="s">
        <v>30</v>
      </c>
      <c r="J286" s="18" t="str">
        <f>"22204"</f>
        <v>22204</v>
      </c>
      <c r="K286" s="6"/>
      <c r="L286" s="6" t="s">
        <v>22</v>
      </c>
      <c r="M286" s="6" t="s">
        <v>2728</v>
      </c>
      <c r="N286" s="7" t="s">
        <v>2729</v>
      </c>
    </row>
    <row r="287" spans="1:14" x14ac:dyDescent="0.3">
      <c r="A287" s="18" t="s">
        <v>2285</v>
      </c>
      <c r="B287" s="18" t="s">
        <v>3003</v>
      </c>
      <c r="C287" s="6"/>
      <c r="D287" s="6" t="s">
        <v>3487</v>
      </c>
      <c r="E287" s="6" t="s">
        <v>231</v>
      </c>
      <c r="F287" s="6" t="s">
        <v>3488</v>
      </c>
      <c r="G287" s="6"/>
      <c r="H287" s="6" t="s">
        <v>3489</v>
      </c>
      <c r="I287" s="6" t="s">
        <v>326</v>
      </c>
      <c r="J287" s="18">
        <v>28752</v>
      </c>
      <c r="K287" s="6"/>
      <c r="L287" s="6" t="s">
        <v>22</v>
      </c>
      <c r="M287" s="6" t="s">
        <v>3490</v>
      </c>
      <c r="N287" s="7" t="s">
        <v>3491</v>
      </c>
    </row>
    <row r="288" spans="1:14" x14ac:dyDescent="0.3">
      <c r="A288" s="18" t="s">
        <v>78</v>
      </c>
      <c r="B288" s="18" t="s">
        <v>79</v>
      </c>
      <c r="C288" s="6"/>
      <c r="D288" s="6" t="s">
        <v>72</v>
      </c>
      <c r="E288" s="6" t="s">
        <v>80</v>
      </c>
      <c r="F288" s="6" t="s">
        <v>73</v>
      </c>
      <c r="G288" s="6" t="s">
        <v>74</v>
      </c>
      <c r="H288" s="6" t="s">
        <v>75</v>
      </c>
      <c r="I288" s="6" t="s">
        <v>76</v>
      </c>
      <c r="J288" s="18" t="str">
        <f>"76051-7658"</f>
        <v>76051-7658</v>
      </c>
      <c r="K288" s="6"/>
      <c r="L288" s="6" t="s">
        <v>22</v>
      </c>
      <c r="M288" s="6" t="s">
        <v>77</v>
      </c>
      <c r="N288" s="7" t="s">
        <v>81</v>
      </c>
    </row>
    <row r="289" spans="1:14" x14ac:dyDescent="0.3">
      <c r="A289" s="18" t="s">
        <v>329</v>
      </c>
      <c r="B289" s="18" t="s">
        <v>330</v>
      </c>
      <c r="C289" s="6"/>
      <c r="D289" s="6" t="s">
        <v>54</v>
      </c>
      <c r="E289" s="6" t="s">
        <v>331</v>
      </c>
      <c r="F289" s="6" t="s">
        <v>56</v>
      </c>
      <c r="G289" s="6"/>
      <c r="H289" s="6" t="s">
        <v>57</v>
      </c>
      <c r="I289" s="6" t="s">
        <v>58</v>
      </c>
      <c r="J289" s="18" t="str">
        <f>"82009-3340"</f>
        <v>82009-3340</v>
      </c>
      <c r="K289" s="6"/>
      <c r="L289" s="6" t="s">
        <v>22</v>
      </c>
      <c r="M289" s="6" t="s">
        <v>332</v>
      </c>
      <c r="N289" s="7" t="s">
        <v>333</v>
      </c>
    </row>
    <row r="290" spans="1:14" x14ac:dyDescent="0.3">
      <c r="A290" s="18" t="s">
        <v>1840</v>
      </c>
      <c r="B290" s="18" t="s">
        <v>376</v>
      </c>
      <c r="C290" s="6"/>
      <c r="D290" s="6" t="s">
        <v>1831</v>
      </c>
      <c r="E290" s="6" t="s">
        <v>1832</v>
      </c>
      <c r="F290" s="6" t="s">
        <v>1833</v>
      </c>
      <c r="G290" s="6"/>
      <c r="H290" s="6" t="s">
        <v>1834</v>
      </c>
      <c r="I290" s="6" t="s">
        <v>30</v>
      </c>
      <c r="J290" s="18" t="str">
        <f>"22150"</f>
        <v>22150</v>
      </c>
      <c r="K290" s="6"/>
      <c r="L290" s="6" t="s">
        <v>22</v>
      </c>
      <c r="M290" s="6" t="s">
        <v>1841</v>
      </c>
      <c r="N290" s="7" t="s">
        <v>1842</v>
      </c>
    </row>
    <row r="291" spans="1:14" x14ac:dyDescent="0.3">
      <c r="A291" s="18" t="s">
        <v>498</v>
      </c>
      <c r="B291" s="18" t="s">
        <v>1853</v>
      </c>
      <c r="C291" s="6"/>
      <c r="D291" s="6" t="s">
        <v>1854</v>
      </c>
      <c r="E291" s="6" t="s">
        <v>337</v>
      </c>
      <c r="F291" s="6" t="s">
        <v>1855</v>
      </c>
      <c r="G291" s="6"/>
      <c r="H291" s="6" t="s">
        <v>647</v>
      </c>
      <c r="I291" s="6" t="s">
        <v>172</v>
      </c>
      <c r="J291" s="18" t="str">
        <f>"41001"</f>
        <v>41001</v>
      </c>
      <c r="K291" s="6"/>
      <c r="L291" s="6" t="s">
        <v>22</v>
      </c>
      <c r="M291" s="6" t="s">
        <v>1856</v>
      </c>
      <c r="N291" s="7" t="s">
        <v>1857</v>
      </c>
    </row>
    <row r="292" spans="1:14" x14ac:dyDescent="0.3">
      <c r="A292" s="18" t="s">
        <v>404</v>
      </c>
      <c r="B292" s="18" t="s">
        <v>676</v>
      </c>
      <c r="C292" s="6"/>
      <c r="D292" s="6" t="s">
        <v>670</v>
      </c>
      <c r="E292" s="6" t="s">
        <v>677</v>
      </c>
      <c r="F292" s="6" t="s">
        <v>671</v>
      </c>
      <c r="G292" s="6"/>
      <c r="H292" s="6" t="s">
        <v>678</v>
      </c>
      <c r="I292" s="6" t="s">
        <v>137</v>
      </c>
      <c r="J292" s="18" t="str">
        <f>"96931"</f>
        <v>96931</v>
      </c>
      <c r="K292" s="6" t="s">
        <v>673</v>
      </c>
      <c r="L292" s="6" t="s">
        <v>22</v>
      </c>
      <c r="M292" s="6" t="s">
        <v>679</v>
      </c>
      <c r="N292" s="7" t="s">
        <v>680</v>
      </c>
    </row>
    <row r="293" spans="1:14" x14ac:dyDescent="0.3">
      <c r="A293" s="18" t="s">
        <v>287</v>
      </c>
      <c r="B293" s="18" t="s">
        <v>3324</v>
      </c>
      <c r="C293" s="6"/>
      <c r="D293" s="6" t="s">
        <v>3325</v>
      </c>
      <c r="E293" s="6"/>
      <c r="F293" s="6" t="s">
        <v>3326</v>
      </c>
      <c r="G293" s="6"/>
      <c r="H293" s="6" t="s">
        <v>3327</v>
      </c>
      <c r="I293" s="6" t="s">
        <v>68</v>
      </c>
      <c r="J293" s="18">
        <v>2461</v>
      </c>
      <c r="K293" s="6"/>
      <c r="L293" s="6" t="s">
        <v>22</v>
      </c>
      <c r="M293" s="6" t="s">
        <v>3328</v>
      </c>
      <c r="N293" s="8" t="s">
        <v>3329</v>
      </c>
    </row>
    <row r="294" spans="1:14" x14ac:dyDescent="0.3">
      <c r="A294" s="18" t="s">
        <v>1745</v>
      </c>
      <c r="B294" s="18" t="s">
        <v>1746</v>
      </c>
      <c r="C294" s="6"/>
      <c r="D294" s="6" t="s">
        <v>730</v>
      </c>
      <c r="E294" s="6" t="s">
        <v>1747</v>
      </c>
      <c r="F294" s="6" t="s">
        <v>1544</v>
      </c>
      <c r="G294" s="6" t="s">
        <v>170</v>
      </c>
      <c r="H294" s="6" t="s">
        <v>38</v>
      </c>
      <c r="I294" s="6" t="s">
        <v>39</v>
      </c>
      <c r="J294" s="18" t="str">
        <f>"20002"</f>
        <v>20002</v>
      </c>
      <c r="K294" s="6"/>
      <c r="L294" s="6" t="s">
        <v>22</v>
      </c>
      <c r="M294" s="6" t="s">
        <v>1748</v>
      </c>
      <c r="N294" s="7" t="s">
        <v>1749</v>
      </c>
    </row>
    <row r="295" spans="1:14" x14ac:dyDescent="0.3">
      <c r="A295" s="18" t="s">
        <v>418</v>
      </c>
      <c r="B295" s="18" t="s">
        <v>419</v>
      </c>
      <c r="C295" s="6"/>
      <c r="D295" s="6" t="s">
        <v>406</v>
      </c>
      <c r="E295" s="6" t="s">
        <v>64</v>
      </c>
      <c r="F295" s="6" t="s">
        <v>408</v>
      </c>
      <c r="G295" s="6" t="s">
        <v>409</v>
      </c>
      <c r="H295" s="6" t="s">
        <v>410</v>
      </c>
      <c r="I295" s="6" t="s">
        <v>264</v>
      </c>
      <c r="J295" s="18" t="str">
        <f>"80222"</f>
        <v>80222</v>
      </c>
      <c r="K295" s="6"/>
      <c r="L295" s="6" t="s">
        <v>22</v>
      </c>
      <c r="M295" s="6" t="s">
        <v>420</v>
      </c>
      <c r="N295" s="7" t="s">
        <v>421</v>
      </c>
    </row>
    <row r="296" spans="1:14" x14ac:dyDescent="0.3">
      <c r="A296" s="18" t="s">
        <v>175</v>
      </c>
      <c r="B296" s="18" t="s">
        <v>2409</v>
      </c>
      <c r="C296" s="6"/>
      <c r="D296" s="6" t="s">
        <v>2410</v>
      </c>
      <c r="E296" s="6" t="s">
        <v>2411</v>
      </c>
      <c r="F296" s="6" t="s">
        <v>2412</v>
      </c>
      <c r="G296" s="6"/>
      <c r="H296" s="6" t="s">
        <v>2413</v>
      </c>
      <c r="I296" s="6" t="s">
        <v>21</v>
      </c>
      <c r="J296" s="18" t="str">
        <f>"21208"</f>
        <v>21208</v>
      </c>
      <c r="K296" s="6"/>
      <c r="L296" s="6" t="s">
        <v>22</v>
      </c>
      <c r="M296" s="6" t="s">
        <v>2414</v>
      </c>
      <c r="N296" s="7" t="s">
        <v>2415</v>
      </c>
    </row>
    <row r="297" spans="1:14" x14ac:dyDescent="0.3">
      <c r="A297" s="18" t="s">
        <v>2511</v>
      </c>
      <c r="B297" s="18" t="s">
        <v>2512</v>
      </c>
      <c r="C297" s="6" t="s">
        <v>2934</v>
      </c>
      <c r="D297" s="6" t="s">
        <v>2513</v>
      </c>
      <c r="E297" s="6" t="s">
        <v>2514</v>
      </c>
      <c r="F297" s="6" t="s">
        <v>2515</v>
      </c>
      <c r="G297" s="6"/>
      <c r="H297" s="6" t="s">
        <v>2516</v>
      </c>
      <c r="I297" s="6" t="s">
        <v>984</v>
      </c>
      <c r="J297" s="18" t="str">
        <f>"05344"</f>
        <v>05344</v>
      </c>
      <c r="K297" s="6"/>
      <c r="L297" s="6" t="s">
        <v>22</v>
      </c>
      <c r="M297" s="6" t="s">
        <v>2517</v>
      </c>
      <c r="N297" s="7" t="s">
        <v>2518</v>
      </c>
    </row>
    <row r="298" spans="1:14" x14ac:dyDescent="0.3">
      <c r="A298" s="18" t="s">
        <v>1065</v>
      </c>
      <c r="B298" s="18" t="s">
        <v>1066</v>
      </c>
      <c r="C298" s="6"/>
      <c r="D298" s="6" t="s">
        <v>842</v>
      </c>
      <c r="E298" s="6" t="s">
        <v>270</v>
      </c>
      <c r="F298" s="6" t="s">
        <v>844</v>
      </c>
      <c r="G298" s="6"/>
      <c r="H298" s="6" t="s">
        <v>845</v>
      </c>
      <c r="I298" s="6" t="s">
        <v>76</v>
      </c>
      <c r="J298" s="18" t="str">
        <f>"78756-2509"</f>
        <v>78756-2509</v>
      </c>
      <c r="K298" s="6"/>
      <c r="L298" s="6" t="s">
        <v>22</v>
      </c>
      <c r="M298" s="6" t="s">
        <v>846</v>
      </c>
      <c r="N298" s="7" t="s">
        <v>1067</v>
      </c>
    </row>
    <row r="299" spans="1:14" x14ac:dyDescent="0.3">
      <c r="A299" s="18" t="s">
        <v>2877</v>
      </c>
      <c r="B299" s="18" t="s">
        <v>2451</v>
      </c>
      <c r="C299" s="6"/>
      <c r="D299" s="6" t="s">
        <v>2452</v>
      </c>
      <c r="E299" s="6" t="s">
        <v>270</v>
      </c>
      <c r="F299" s="6" t="s">
        <v>2454</v>
      </c>
      <c r="G299" s="6" t="s">
        <v>2873</v>
      </c>
      <c r="H299" s="6" t="s">
        <v>2878</v>
      </c>
      <c r="I299" s="6" t="s">
        <v>137</v>
      </c>
      <c r="J299" s="18" t="str">
        <f>"00940"</f>
        <v>00940</v>
      </c>
      <c r="K299" s="6" t="s">
        <v>2874</v>
      </c>
      <c r="L299" s="6" t="s">
        <v>22</v>
      </c>
      <c r="M299" s="6" t="s">
        <v>2879</v>
      </c>
      <c r="N299" s="7" t="s">
        <v>2880</v>
      </c>
    </row>
    <row r="300" spans="1:14" x14ac:dyDescent="0.3">
      <c r="A300" s="18" t="s">
        <v>2450</v>
      </c>
      <c r="B300" s="18" t="s">
        <v>2451</v>
      </c>
      <c r="C300" s="6"/>
      <c r="D300" s="6" t="s">
        <v>2452</v>
      </c>
      <c r="E300" s="6" t="s">
        <v>2453</v>
      </c>
      <c r="F300" s="6" t="s">
        <v>2454</v>
      </c>
      <c r="G300" s="6"/>
      <c r="H300" s="6" t="s">
        <v>2455</v>
      </c>
      <c r="I300" s="6" t="s">
        <v>137</v>
      </c>
      <c r="J300" s="18" t="str">
        <f>"00940"</f>
        <v>00940</v>
      </c>
      <c r="K300" s="6"/>
      <c r="L300" s="6" t="s">
        <v>22</v>
      </c>
      <c r="M300" s="6" t="s">
        <v>2456</v>
      </c>
      <c r="N300" s="7" t="s">
        <v>2457</v>
      </c>
    </row>
    <row r="301" spans="1:14" x14ac:dyDescent="0.3">
      <c r="A301" s="18" t="s">
        <v>959</v>
      </c>
      <c r="B301" s="18" t="s">
        <v>2308</v>
      </c>
      <c r="C301" s="6"/>
      <c r="D301" s="6" t="s">
        <v>2305</v>
      </c>
      <c r="E301" s="6" t="s">
        <v>2309</v>
      </c>
      <c r="F301" s="6" t="s">
        <v>2306</v>
      </c>
      <c r="G301" s="6"/>
      <c r="H301" s="6" t="s">
        <v>1834</v>
      </c>
      <c r="I301" s="6" t="s">
        <v>454</v>
      </c>
      <c r="J301" s="18" t="str">
        <f>"62764"</f>
        <v>62764</v>
      </c>
      <c r="K301" s="6"/>
      <c r="L301" s="6" t="s">
        <v>22</v>
      </c>
      <c r="M301" s="6" t="s">
        <v>2310</v>
      </c>
      <c r="N301" s="7" t="s">
        <v>2311</v>
      </c>
    </row>
    <row r="302" spans="1:14" x14ac:dyDescent="0.3">
      <c r="A302" s="18" t="s">
        <v>2247</v>
      </c>
      <c r="B302" s="18" t="s">
        <v>2248</v>
      </c>
      <c r="C302" s="6"/>
      <c r="D302" s="6" t="s">
        <v>269</v>
      </c>
      <c r="E302" s="6" t="s">
        <v>2249</v>
      </c>
      <c r="F302" s="6" t="s">
        <v>2250</v>
      </c>
      <c r="G302" s="6"/>
      <c r="H302" s="6" t="s">
        <v>272</v>
      </c>
      <c r="I302" s="6" t="s">
        <v>30</v>
      </c>
      <c r="J302" s="18" t="str">
        <f>"20191"</f>
        <v>20191</v>
      </c>
      <c r="K302" s="6"/>
      <c r="L302" s="6" t="s">
        <v>22</v>
      </c>
      <c r="M302" s="6" t="s">
        <v>273</v>
      </c>
      <c r="N302" s="7" t="s">
        <v>2251</v>
      </c>
    </row>
    <row r="303" spans="1:14" x14ac:dyDescent="0.3">
      <c r="A303" s="18" t="s">
        <v>2478</v>
      </c>
      <c r="B303" s="18" t="s">
        <v>2541</v>
      </c>
      <c r="C303" s="6"/>
      <c r="D303" s="6" t="s">
        <v>2542</v>
      </c>
      <c r="E303" s="6" t="s">
        <v>177</v>
      </c>
      <c r="F303" s="6" t="s">
        <v>2543</v>
      </c>
      <c r="G303" s="6" t="s">
        <v>2544</v>
      </c>
      <c r="H303" s="6" t="s">
        <v>2545</v>
      </c>
      <c r="I303" s="6" t="s">
        <v>172</v>
      </c>
      <c r="J303" s="18" t="str">
        <f>"42141"</f>
        <v>42141</v>
      </c>
      <c r="K303" s="6"/>
      <c r="L303" s="6" t="s">
        <v>22</v>
      </c>
      <c r="M303" s="6" t="s">
        <v>2546</v>
      </c>
      <c r="N303" s="7" t="s">
        <v>2547</v>
      </c>
    </row>
    <row r="304" spans="1:14" x14ac:dyDescent="0.3">
      <c r="A304" s="18" t="s">
        <v>186</v>
      </c>
      <c r="B304" s="18" t="s">
        <v>187</v>
      </c>
      <c r="C304" s="6"/>
      <c r="D304" s="6" t="s">
        <v>188</v>
      </c>
      <c r="E304" s="6" t="s">
        <v>189</v>
      </c>
      <c r="F304" s="6" t="s">
        <v>190</v>
      </c>
      <c r="G304" s="6"/>
      <c r="H304" s="6" t="s">
        <v>191</v>
      </c>
      <c r="I304" s="6" t="s">
        <v>21</v>
      </c>
      <c r="J304" s="18" t="str">
        <f>"21201"</f>
        <v>21201</v>
      </c>
      <c r="K304" s="6"/>
      <c r="L304" s="6" t="s">
        <v>22</v>
      </c>
      <c r="M304" s="6" t="s">
        <v>192</v>
      </c>
      <c r="N304" s="7" t="s">
        <v>193</v>
      </c>
    </row>
    <row r="305" spans="1:14" x14ac:dyDescent="0.3">
      <c r="A305" s="18" t="s">
        <v>2923</v>
      </c>
      <c r="B305" s="18" t="s">
        <v>2924</v>
      </c>
      <c r="C305" s="6"/>
      <c r="D305" s="6" t="s">
        <v>1939</v>
      </c>
      <c r="E305" s="6" t="s">
        <v>290</v>
      </c>
      <c r="F305" s="6" t="s">
        <v>2925</v>
      </c>
      <c r="G305" s="6" t="s">
        <v>2036</v>
      </c>
      <c r="H305" s="6" t="s">
        <v>544</v>
      </c>
      <c r="I305" s="6" t="s">
        <v>30</v>
      </c>
      <c r="J305" s="18" t="str">
        <f>"22201"</f>
        <v>22201</v>
      </c>
      <c r="K305" s="6"/>
      <c r="L305" s="6" t="s">
        <v>22</v>
      </c>
      <c r="M305" s="6" t="s">
        <v>2926</v>
      </c>
      <c r="N305" s="7" t="s">
        <v>2927</v>
      </c>
    </row>
    <row r="306" spans="1:14" x14ac:dyDescent="0.3">
      <c r="A306" s="18" t="s">
        <v>308</v>
      </c>
      <c r="B306" s="18" t="s">
        <v>860</v>
      </c>
      <c r="C306" s="6"/>
      <c r="D306" s="6" t="s">
        <v>861</v>
      </c>
      <c r="E306" s="6" t="s">
        <v>862</v>
      </c>
      <c r="F306" s="6" t="s">
        <v>863</v>
      </c>
      <c r="G306" s="6" t="s">
        <v>864</v>
      </c>
      <c r="H306" s="6" t="s">
        <v>865</v>
      </c>
      <c r="I306" s="6" t="s">
        <v>866</v>
      </c>
      <c r="J306" s="18" t="str">
        <f>"96813"</f>
        <v>96813</v>
      </c>
      <c r="K306" s="6"/>
      <c r="L306" s="6" t="s">
        <v>22</v>
      </c>
      <c r="M306" s="6" t="s">
        <v>867</v>
      </c>
      <c r="N306" s="7" t="s">
        <v>868</v>
      </c>
    </row>
    <row r="307" spans="1:14" x14ac:dyDescent="0.3">
      <c r="A307" s="18" t="s">
        <v>1327</v>
      </c>
      <c r="B307" s="18" t="s">
        <v>1328</v>
      </c>
      <c r="C307" s="6"/>
      <c r="D307" s="6" t="s">
        <v>17</v>
      </c>
      <c r="E307" s="6" t="s">
        <v>1329</v>
      </c>
      <c r="F307" s="6" t="s">
        <v>36</v>
      </c>
      <c r="G307" s="6"/>
      <c r="H307" s="6" t="s">
        <v>38</v>
      </c>
      <c r="I307" s="6" t="s">
        <v>39</v>
      </c>
      <c r="J307" s="18" t="str">
        <f>"20001-1534"</f>
        <v>20001-1534</v>
      </c>
      <c r="K307" s="6"/>
      <c r="L307" s="6" t="s">
        <v>22</v>
      </c>
      <c r="M307" s="6" t="s">
        <v>1330</v>
      </c>
      <c r="N307" s="7" t="s">
        <v>1331</v>
      </c>
    </row>
    <row r="308" spans="1:14" x14ac:dyDescent="0.3">
      <c r="A308" s="18" t="s">
        <v>1616</v>
      </c>
      <c r="B308" s="18" t="s">
        <v>1617</v>
      </c>
      <c r="C308" s="6"/>
      <c r="D308" s="6" t="s">
        <v>1618</v>
      </c>
      <c r="E308" s="6" t="s">
        <v>177</v>
      </c>
      <c r="F308" s="6" t="s">
        <v>1619</v>
      </c>
      <c r="G308" s="6" t="s">
        <v>1620</v>
      </c>
      <c r="H308" s="6" t="s">
        <v>300</v>
      </c>
      <c r="I308" s="6" t="s">
        <v>301</v>
      </c>
      <c r="J308" s="18" t="str">
        <f>"19904"</f>
        <v>19904</v>
      </c>
      <c r="K308" s="6"/>
      <c r="L308" s="6" t="s">
        <v>22</v>
      </c>
      <c r="M308" s="6" t="s">
        <v>1621</v>
      </c>
      <c r="N308" s="7" t="s">
        <v>1622</v>
      </c>
    </row>
    <row r="309" spans="1:14" x14ac:dyDescent="0.3">
      <c r="A309" s="18" t="s">
        <v>914</v>
      </c>
      <c r="B309" s="18" t="s">
        <v>915</v>
      </c>
      <c r="C309" s="6"/>
      <c r="D309" s="6" t="s">
        <v>378</v>
      </c>
      <c r="E309" s="6" t="s">
        <v>916</v>
      </c>
      <c r="F309" s="6" t="s">
        <v>379</v>
      </c>
      <c r="G309" s="6"/>
      <c r="H309" s="6" t="s">
        <v>380</v>
      </c>
      <c r="I309" s="6" t="s">
        <v>381</v>
      </c>
      <c r="J309" s="18" t="str">
        <f>"57501"</f>
        <v>57501</v>
      </c>
      <c r="K309" s="6"/>
      <c r="L309" s="6" t="s">
        <v>22</v>
      </c>
      <c r="M309" s="6" t="s">
        <v>917</v>
      </c>
      <c r="N309" s="7" t="s">
        <v>918</v>
      </c>
    </row>
    <row r="310" spans="1:14" x14ac:dyDescent="0.3">
      <c r="A310" s="18" t="s">
        <v>113</v>
      </c>
      <c r="B310" s="18" t="s">
        <v>925</v>
      </c>
      <c r="C310" s="6"/>
      <c r="D310" s="6" t="s">
        <v>926</v>
      </c>
      <c r="E310" s="6" t="s">
        <v>337</v>
      </c>
      <c r="F310" s="6" t="s">
        <v>927</v>
      </c>
      <c r="G310" s="6"/>
      <c r="H310" s="6" t="s">
        <v>928</v>
      </c>
      <c r="I310" s="6" t="s">
        <v>172</v>
      </c>
      <c r="J310" s="18" t="str">
        <f>"40475"</f>
        <v>40475</v>
      </c>
      <c r="K310" s="6"/>
      <c r="L310" s="6" t="s">
        <v>22</v>
      </c>
      <c r="M310" s="6" t="s">
        <v>929</v>
      </c>
      <c r="N310" s="7" t="s">
        <v>930</v>
      </c>
    </row>
    <row r="311" spans="1:14" x14ac:dyDescent="0.3">
      <c r="A311" s="18" t="s">
        <v>1014</v>
      </c>
      <c r="B311" s="18" t="s">
        <v>3551</v>
      </c>
      <c r="C311" s="6"/>
      <c r="D311" s="6" t="s">
        <v>3552</v>
      </c>
      <c r="E311" s="6" t="s">
        <v>3553</v>
      </c>
      <c r="F311" s="6" t="s">
        <v>1120</v>
      </c>
      <c r="G311" s="6"/>
      <c r="H311" s="6" t="s">
        <v>1121</v>
      </c>
      <c r="I311" s="6" t="s">
        <v>118</v>
      </c>
      <c r="J311" s="18">
        <v>48821</v>
      </c>
      <c r="K311" s="6"/>
      <c r="L311" s="6" t="s">
        <v>22</v>
      </c>
      <c r="M311" s="6" t="s">
        <v>3554</v>
      </c>
      <c r="N311" s="8" t="s">
        <v>3555</v>
      </c>
    </row>
    <row r="312" spans="1:14" x14ac:dyDescent="0.3">
      <c r="A312" s="18" t="s">
        <v>287</v>
      </c>
      <c r="B312" s="18" t="s">
        <v>2358</v>
      </c>
      <c r="C312" s="6"/>
      <c r="D312" s="6" t="s">
        <v>827</v>
      </c>
      <c r="E312" s="6" t="s">
        <v>64</v>
      </c>
      <c r="F312" s="6" t="s">
        <v>2177</v>
      </c>
      <c r="G312" s="6"/>
      <c r="H312" s="6" t="s">
        <v>38</v>
      </c>
      <c r="I312" s="6" t="s">
        <v>39</v>
      </c>
      <c r="J312" s="18" t="str">
        <f>"20590"</f>
        <v>20590</v>
      </c>
      <c r="K312" s="6"/>
      <c r="L312" s="6" t="s">
        <v>22</v>
      </c>
      <c r="M312" s="6" t="s">
        <v>2356</v>
      </c>
      <c r="N312" s="7" t="s">
        <v>2357</v>
      </c>
    </row>
    <row r="313" spans="1:14" x14ac:dyDescent="0.3">
      <c r="A313" s="18" t="s">
        <v>2707</v>
      </c>
      <c r="B313" s="18" t="s">
        <v>2708</v>
      </c>
      <c r="C313" s="6"/>
      <c r="D313" s="6" t="s">
        <v>2709</v>
      </c>
      <c r="E313" s="6" t="s">
        <v>2710</v>
      </c>
      <c r="F313" s="6" t="s">
        <v>2711</v>
      </c>
      <c r="G313" s="6"/>
      <c r="H313" s="6" t="s">
        <v>2712</v>
      </c>
      <c r="I313" s="6" t="s">
        <v>76</v>
      </c>
      <c r="J313" s="18" t="str">
        <f>"75063"</f>
        <v>75063</v>
      </c>
      <c r="K313" s="6"/>
      <c r="L313" s="6" t="s">
        <v>22</v>
      </c>
      <c r="M313" s="6" t="s">
        <v>2713</v>
      </c>
      <c r="N313" s="7" t="s">
        <v>2714</v>
      </c>
    </row>
    <row r="314" spans="1:14" x14ac:dyDescent="0.3">
      <c r="A314" s="18" t="s">
        <v>1687</v>
      </c>
      <c r="B314" s="18" t="s">
        <v>1573</v>
      </c>
      <c r="C314" s="6"/>
      <c r="D314" s="6" t="s">
        <v>1688</v>
      </c>
      <c r="E314" s="6" t="s">
        <v>1689</v>
      </c>
      <c r="F314" s="6" t="s">
        <v>1690</v>
      </c>
      <c r="G314" s="6"/>
      <c r="H314" s="6" t="s">
        <v>1167</v>
      </c>
      <c r="I314" s="6" t="s">
        <v>172</v>
      </c>
      <c r="J314" s="18" t="str">
        <f>"42303"</f>
        <v>42303</v>
      </c>
      <c r="K314" s="6"/>
      <c r="L314" s="6" t="s">
        <v>22</v>
      </c>
      <c r="M314" s="6" t="s">
        <v>1691</v>
      </c>
      <c r="N314" s="7" t="s">
        <v>1692</v>
      </c>
    </row>
    <row r="315" spans="1:14" x14ac:dyDescent="0.3">
      <c r="A315" s="18" t="s">
        <v>2339</v>
      </c>
      <c r="B315" s="18" t="s">
        <v>1573</v>
      </c>
      <c r="C315" s="6"/>
      <c r="D315" s="6" t="s">
        <v>2317</v>
      </c>
      <c r="E315" s="6" t="s">
        <v>206</v>
      </c>
      <c r="F315" s="6" t="s">
        <v>2318</v>
      </c>
      <c r="G315" s="6"/>
      <c r="H315" s="6" t="s">
        <v>364</v>
      </c>
      <c r="I315" s="6" t="s">
        <v>172</v>
      </c>
      <c r="J315" s="18" t="str">
        <f>"40601"</f>
        <v>40601</v>
      </c>
      <c r="K315" s="6"/>
      <c r="L315" s="6" t="s">
        <v>22</v>
      </c>
      <c r="M315" s="6" t="s">
        <v>2323</v>
      </c>
      <c r="N315" s="7" t="s">
        <v>2340</v>
      </c>
    </row>
    <row r="316" spans="1:14" x14ac:dyDescent="0.3">
      <c r="A316" s="18" t="s">
        <v>1572</v>
      </c>
      <c r="B316" s="18" t="s">
        <v>1573</v>
      </c>
      <c r="C316" s="6"/>
      <c r="D316" s="6" t="s">
        <v>17</v>
      </c>
      <c r="E316" s="6" t="s">
        <v>3311</v>
      </c>
      <c r="F316" s="6" t="s">
        <v>1574</v>
      </c>
      <c r="G316" s="6"/>
      <c r="H316" s="6" t="s">
        <v>38</v>
      </c>
      <c r="I316" s="6" t="s">
        <v>39</v>
      </c>
      <c r="J316" s="18" t="str">
        <f>"20001"</f>
        <v>20001</v>
      </c>
      <c r="K316" s="6"/>
      <c r="L316" s="6" t="s">
        <v>22</v>
      </c>
      <c r="M316" s="6" t="s">
        <v>1575</v>
      </c>
      <c r="N316" s="7" t="s">
        <v>1576</v>
      </c>
    </row>
    <row r="317" spans="1:14" x14ac:dyDescent="0.3">
      <c r="A317" s="18" t="s">
        <v>1010</v>
      </c>
      <c r="B317" s="18" t="s">
        <v>1011</v>
      </c>
      <c r="C317" s="6"/>
      <c r="D317" s="6" t="s">
        <v>276</v>
      </c>
      <c r="E317" s="6" t="s">
        <v>731</v>
      </c>
      <c r="F317" s="6" t="s">
        <v>278</v>
      </c>
      <c r="G317" s="6"/>
      <c r="H317" s="6" t="s">
        <v>279</v>
      </c>
      <c r="I317" s="6" t="s">
        <v>280</v>
      </c>
      <c r="J317" s="18" t="str">
        <f>"98504-0944"</f>
        <v>98504-0944</v>
      </c>
      <c r="K317" s="6"/>
      <c r="L317" s="6" t="s">
        <v>22</v>
      </c>
      <c r="M317" s="6" t="s">
        <v>1012</v>
      </c>
      <c r="N317" s="7" t="s">
        <v>1013</v>
      </c>
    </row>
    <row r="318" spans="1:14" x14ac:dyDescent="0.3">
      <c r="A318" s="18" t="s">
        <v>348</v>
      </c>
      <c r="B318" s="18" t="s">
        <v>681</v>
      </c>
      <c r="C318" s="6"/>
      <c r="D318" s="6" t="s">
        <v>670</v>
      </c>
      <c r="E318" s="6" t="s">
        <v>682</v>
      </c>
      <c r="F318" s="6" t="s">
        <v>671</v>
      </c>
      <c r="G318" s="6"/>
      <c r="H318" s="6" t="s">
        <v>672</v>
      </c>
      <c r="I318" s="6" t="s">
        <v>137</v>
      </c>
      <c r="J318" s="18" t="str">
        <f>"96913"</f>
        <v>96913</v>
      </c>
      <c r="K318" s="6" t="s">
        <v>673</v>
      </c>
      <c r="L318" s="6" t="s">
        <v>22</v>
      </c>
      <c r="M318" s="6" t="s">
        <v>683</v>
      </c>
      <c r="N318" s="7" t="s">
        <v>684</v>
      </c>
    </row>
    <row r="319" spans="1:14" x14ac:dyDescent="0.3">
      <c r="A319" s="18" t="s">
        <v>1409</v>
      </c>
      <c r="B319" s="18" t="s">
        <v>2374</v>
      </c>
      <c r="C319" s="6"/>
      <c r="D319" s="6" t="s">
        <v>2375</v>
      </c>
      <c r="E319" s="6" t="s">
        <v>1030</v>
      </c>
      <c r="F319" s="6" t="s">
        <v>2376</v>
      </c>
      <c r="G319" s="6"/>
      <c r="H319" s="6" t="s">
        <v>2377</v>
      </c>
      <c r="I319" s="6" t="s">
        <v>172</v>
      </c>
      <c r="J319" s="18" t="str">
        <f>"40422"</f>
        <v>40422</v>
      </c>
      <c r="K319" s="6"/>
      <c r="L319" s="6" t="s">
        <v>22</v>
      </c>
      <c r="M319" s="6" t="s">
        <v>2378</v>
      </c>
      <c r="N319" s="7" t="s">
        <v>2379</v>
      </c>
    </row>
    <row r="320" spans="1:14" x14ac:dyDescent="0.3">
      <c r="A320" s="18" t="s">
        <v>1302</v>
      </c>
      <c r="B320" s="18" t="s">
        <v>1303</v>
      </c>
      <c r="C320" s="6"/>
      <c r="D320" s="6" t="s">
        <v>1304</v>
      </c>
      <c r="E320" s="6"/>
      <c r="F320" s="6" t="s">
        <v>1305</v>
      </c>
      <c r="G320" s="6"/>
      <c r="H320" s="6" t="s">
        <v>1306</v>
      </c>
      <c r="I320" s="6" t="s">
        <v>172</v>
      </c>
      <c r="J320" s="18" t="str">
        <f>"40977"</f>
        <v>40977</v>
      </c>
      <c r="K320" s="6"/>
      <c r="L320" s="6" t="s">
        <v>22</v>
      </c>
      <c r="M320" s="6" t="s">
        <v>1307</v>
      </c>
      <c r="N320" s="7" t="s">
        <v>1308</v>
      </c>
    </row>
    <row r="321" spans="1:14" x14ac:dyDescent="0.3">
      <c r="A321" s="18" t="s">
        <v>1182</v>
      </c>
      <c r="B321" s="18" t="s">
        <v>1183</v>
      </c>
      <c r="C321" s="6"/>
      <c r="D321" s="6" t="s">
        <v>1184</v>
      </c>
      <c r="E321" s="6"/>
      <c r="F321" s="6" t="s">
        <v>1185</v>
      </c>
      <c r="G321" s="6"/>
      <c r="H321" s="6" t="s">
        <v>1186</v>
      </c>
      <c r="I321" s="6" t="s">
        <v>172</v>
      </c>
      <c r="J321" s="18" t="str">
        <f>"40475"</f>
        <v>40475</v>
      </c>
      <c r="K321" s="6"/>
      <c r="L321" s="6" t="s">
        <v>22</v>
      </c>
      <c r="M321" s="6" t="s">
        <v>1187</v>
      </c>
      <c r="N321" s="7" t="s">
        <v>1188</v>
      </c>
    </row>
    <row r="322" spans="1:14" x14ac:dyDescent="0.3">
      <c r="A322" s="18" t="s">
        <v>3371</v>
      </c>
      <c r="B322" s="18" t="s">
        <v>253</v>
      </c>
      <c r="C322" s="6"/>
      <c r="D322" s="6" t="s">
        <v>17</v>
      </c>
      <c r="E322" s="6" t="s">
        <v>3372</v>
      </c>
      <c r="F322" s="6" t="s">
        <v>36</v>
      </c>
      <c r="G322" s="6" t="s">
        <v>37</v>
      </c>
      <c r="H322" s="6" t="s">
        <v>38</v>
      </c>
      <c r="I322" s="6" t="s">
        <v>39</v>
      </c>
      <c r="J322" s="18">
        <v>20001</v>
      </c>
      <c r="K322" s="6"/>
      <c r="L322" s="6" t="s">
        <v>22</v>
      </c>
      <c r="M322" s="6" t="s">
        <v>40</v>
      </c>
      <c r="N322" s="8" t="s">
        <v>3373</v>
      </c>
    </row>
    <row r="323" spans="1:14" x14ac:dyDescent="0.3">
      <c r="A323" s="18" t="s">
        <v>252</v>
      </c>
      <c r="B323" s="18" t="s">
        <v>253</v>
      </c>
      <c r="C323" s="6"/>
      <c r="D323" s="6" t="s">
        <v>254</v>
      </c>
      <c r="E323" s="6" t="s">
        <v>64</v>
      </c>
      <c r="F323" s="6" t="s">
        <v>255</v>
      </c>
      <c r="G323" s="6"/>
      <c r="H323" s="6" t="s">
        <v>256</v>
      </c>
      <c r="I323" s="6" t="s">
        <v>118</v>
      </c>
      <c r="J323" s="18" t="str">
        <f>"48188"</f>
        <v>48188</v>
      </c>
      <c r="K323" s="6"/>
      <c r="L323" s="6" t="s">
        <v>22</v>
      </c>
      <c r="M323" s="6" t="s">
        <v>257</v>
      </c>
      <c r="N323" s="7" t="s">
        <v>258</v>
      </c>
    </row>
    <row r="324" spans="1:14" x14ac:dyDescent="0.3">
      <c r="A324" s="18" t="s">
        <v>2526</v>
      </c>
      <c r="B324" s="18" t="s">
        <v>2527</v>
      </c>
      <c r="C324" s="6"/>
      <c r="D324" s="6" t="s">
        <v>2528</v>
      </c>
      <c r="E324" s="6" t="s">
        <v>2529</v>
      </c>
      <c r="F324" s="6" t="s">
        <v>2530</v>
      </c>
      <c r="G324" s="6" t="s">
        <v>2531</v>
      </c>
      <c r="H324" s="6" t="s">
        <v>38</v>
      </c>
      <c r="I324" s="6" t="s">
        <v>39</v>
      </c>
      <c r="J324" s="18" t="str">
        <f>"20036"</f>
        <v>20036</v>
      </c>
      <c r="K324" s="6"/>
      <c r="L324" s="6" t="s">
        <v>22</v>
      </c>
      <c r="M324" s="6" t="s">
        <v>2532</v>
      </c>
      <c r="N324" s="7" t="s">
        <v>2533</v>
      </c>
    </row>
    <row r="325" spans="1:14" x14ac:dyDescent="0.3">
      <c r="A325" s="18" t="s">
        <v>2233</v>
      </c>
      <c r="B325" s="18" t="s">
        <v>2606</v>
      </c>
      <c r="C325" s="6"/>
      <c r="D325" s="6" t="s">
        <v>1725</v>
      </c>
      <c r="E325" s="6" t="s">
        <v>2604</v>
      </c>
      <c r="F325" s="6" t="s">
        <v>2584</v>
      </c>
      <c r="G325" s="6"/>
      <c r="H325" s="6" t="s">
        <v>364</v>
      </c>
      <c r="I325" s="6" t="s">
        <v>172</v>
      </c>
      <c r="J325" s="18" t="str">
        <f>"40622"</f>
        <v>40622</v>
      </c>
      <c r="K325" s="6"/>
      <c r="L325" s="6" t="s">
        <v>22</v>
      </c>
      <c r="M325" s="6" t="s">
        <v>2607</v>
      </c>
      <c r="N325" s="7" t="s">
        <v>2608</v>
      </c>
    </row>
    <row r="326" spans="1:14" x14ac:dyDescent="0.3">
      <c r="A326" s="18" t="s">
        <v>588</v>
      </c>
      <c r="B326" s="18" t="s">
        <v>2816</v>
      </c>
      <c r="C326" s="6"/>
      <c r="D326" s="6" t="s">
        <v>2784</v>
      </c>
      <c r="E326" s="6"/>
      <c r="F326" s="6" t="s">
        <v>2817</v>
      </c>
      <c r="G326" s="6"/>
      <c r="H326" s="6" t="s">
        <v>2818</v>
      </c>
      <c r="I326" s="6" t="s">
        <v>172</v>
      </c>
      <c r="J326" s="18" t="str">
        <f>"40065"</f>
        <v>40065</v>
      </c>
      <c r="K326" s="6"/>
      <c r="L326" s="6" t="s">
        <v>22</v>
      </c>
      <c r="M326" s="6" t="s">
        <v>2819</v>
      </c>
      <c r="N326" s="7" t="s">
        <v>2820</v>
      </c>
    </row>
    <row r="327" spans="1:14" x14ac:dyDescent="0.3">
      <c r="A327" s="18" t="s">
        <v>61</v>
      </c>
      <c r="B327" s="18" t="s">
        <v>2742</v>
      </c>
      <c r="C327" s="6"/>
      <c r="D327" s="6" t="s">
        <v>2743</v>
      </c>
      <c r="E327" s="6" t="s">
        <v>3330</v>
      </c>
      <c r="F327" s="6" t="s">
        <v>2744</v>
      </c>
      <c r="G327" s="6" t="s">
        <v>2745</v>
      </c>
      <c r="H327" s="6" t="s">
        <v>38</v>
      </c>
      <c r="I327" s="6" t="s">
        <v>39</v>
      </c>
      <c r="J327" s="18" t="str">
        <f>"20001"</f>
        <v>20001</v>
      </c>
      <c r="K327" s="6"/>
      <c r="L327" s="6" t="s">
        <v>22</v>
      </c>
      <c r="M327" s="6" t="s">
        <v>2746</v>
      </c>
      <c r="N327" s="7" t="s">
        <v>2747</v>
      </c>
    </row>
    <row r="328" spans="1:14" x14ac:dyDescent="0.3">
      <c r="A328" s="18" t="s">
        <v>334</v>
      </c>
      <c r="B328" s="18" t="s">
        <v>335</v>
      </c>
      <c r="C328" s="6"/>
      <c r="D328" s="6" t="s">
        <v>336</v>
      </c>
      <c r="E328" s="6" t="s">
        <v>337</v>
      </c>
      <c r="F328" s="6" t="s">
        <v>338</v>
      </c>
      <c r="G328" s="6"/>
      <c r="H328" s="6" t="s">
        <v>339</v>
      </c>
      <c r="I328" s="6" t="s">
        <v>280</v>
      </c>
      <c r="J328" s="18" t="str">
        <f>"98668"</f>
        <v>98668</v>
      </c>
      <c r="K328" s="6"/>
      <c r="L328" s="6" t="s">
        <v>22</v>
      </c>
      <c r="M328" s="6" t="s">
        <v>340</v>
      </c>
      <c r="N328" s="7" t="s">
        <v>341</v>
      </c>
    </row>
    <row r="329" spans="1:14" x14ac:dyDescent="0.3">
      <c r="A329" s="18" t="s">
        <v>1149</v>
      </c>
      <c r="B329" s="18" t="s">
        <v>1150</v>
      </c>
      <c r="C329" s="6"/>
      <c r="D329" s="6" t="s">
        <v>1038</v>
      </c>
      <c r="E329" s="6" t="s">
        <v>1151</v>
      </c>
      <c r="F329" s="6" t="s">
        <v>1040</v>
      </c>
      <c r="G329" s="6" t="s">
        <v>1152</v>
      </c>
      <c r="H329" s="6" t="s">
        <v>1042</v>
      </c>
      <c r="I329" s="6" t="s">
        <v>242</v>
      </c>
      <c r="J329" s="18" t="str">
        <f>"32399-0450"</f>
        <v>32399-0450</v>
      </c>
      <c r="K329" s="6"/>
      <c r="L329" s="6" t="s">
        <v>22</v>
      </c>
      <c r="M329" s="6" t="s">
        <v>1153</v>
      </c>
      <c r="N329" s="7" t="s">
        <v>1154</v>
      </c>
    </row>
    <row r="330" spans="1:14" x14ac:dyDescent="0.3">
      <c r="A330" s="18" t="s">
        <v>1604</v>
      </c>
      <c r="B330" s="18" t="s">
        <v>1605</v>
      </c>
      <c r="C330" s="6"/>
      <c r="D330" s="6" t="s">
        <v>1606</v>
      </c>
      <c r="E330" s="6" t="s">
        <v>814</v>
      </c>
      <c r="F330" s="6" t="s">
        <v>1607</v>
      </c>
      <c r="G330" s="6"/>
      <c r="H330" s="6" t="s">
        <v>300</v>
      </c>
      <c r="I330" s="6" t="s">
        <v>301</v>
      </c>
      <c r="J330" s="18" t="str">
        <f>"19901"</f>
        <v>19901</v>
      </c>
      <c r="K330" s="6"/>
      <c r="L330" s="6" t="s">
        <v>22</v>
      </c>
      <c r="M330" s="6" t="s">
        <v>1608</v>
      </c>
      <c r="N330" s="7" t="s">
        <v>1609</v>
      </c>
    </row>
    <row r="331" spans="1:14" x14ac:dyDescent="0.3">
      <c r="A331" s="18" t="s">
        <v>431</v>
      </c>
      <c r="B331" s="18" t="s">
        <v>2001</v>
      </c>
      <c r="C331" s="6"/>
      <c r="D331" s="6" t="s">
        <v>2002</v>
      </c>
      <c r="E331" s="6" t="s">
        <v>2003</v>
      </c>
      <c r="F331" s="18" t="s">
        <v>3335</v>
      </c>
      <c r="G331" s="6" t="s">
        <v>2934</v>
      </c>
      <c r="H331" s="6" t="s">
        <v>1189</v>
      </c>
      <c r="I331" s="6" t="s">
        <v>734</v>
      </c>
      <c r="J331" s="18" t="str">
        <f>"73169"</f>
        <v>73169</v>
      </c>
      <c r="K331" s="6"/>
      <c r="L331" s="6" t="s">
        <v>22</v>
      </c>
      <c r="M331" s="6" t="s">
        <v>2004</v>
      </c>
      <c r="N331" s="7" t="s">
        <v>2005</v>
      </c>
    </row>
    <row r="332" spans="1:14" x14ac:dyDescent="0.3">
      <c r="A332" s="18" t="s">
        <v>308</v>
      </c>
      <c r="B332" s="18" t="s">
        <v>3332</v>
      </c>
      <c r="C332" s="6" t="s">
        <v>16</v>
      </c>
      <c r="D332" s="6" t="s">
        <v>3333</v>
      </c>
      <c r="E332" s="6" t="s">
        <v>3334</v>
      </c>
      <c r="F332" s="6" t="s">
        <v>3336</v>
      </c>
      <c r="G332" s="6"/>
      <c r="H332" s="6" t="s">
        <v>3337</v>
      </c>
      <c r="I332" s="6" t="s">
        <v>68</v>
      </c>
      <c r="J332" s="18">
        <v>2052</v>
      </c>
      <c r="K332" s="6"/>
      <c r="L332" s="6" t="s">
        <v>22</v>
      </c>
      <c r="M332" s="6" t="s">
        <v>3338</v>
      </c>
      <c r="N332" s="8" t="s">
        <v>3339</v>
      </c>
    </row>
    <row r="333" spans="1:14" x14ac:dyDescent="0.3">
      <c r="A333" s="18" t="s">
        <v>737</v>
      </c>
      <c r="B333" s="18" t="s">
        <v>738</v>
      </c>
      <c r="C333" s="6"/>
      <c r="D333" s="6" t="s">
        <v>106</v>
      </c>
      <c r="E333" s="6" t="s">
        <v>739</v>
      </c>
      <c r="F333" s="6" t="s">
        <v>740</v>
      </c>
      <c r="G333" s="6"/>
      <c r="H333" s="6" t="s">
        <v>110</v>
      </c>
      <c r="I333" s="6" t="s">
        <v>21</v>
      </c>
      <c r="J333" s="18" t="str">
        <f>"21062"</f>
        <v>21062</v>
      </c>
      <c r="K333" s="6"/>
      <c r="L333" s="6" t="s">
        <v>22</v>
      </c>
      <c r="M333" s="6" t="s">
        <v>741</v>
      </c>
      <c r="N333" s="7" t="s">
        <v>742</v>
      </c>
    </row>
    <row r="334" spans="1:14" x14ac:dyDescent="0.3">
      <c r="A334" s="18" t="s">
        <v>658</v>
      </c>
      <c r="B334" s="18" t="s">
        <v>2144</v>
      </c>
      <c r="C334" s="6"/>
      <c r="D334" s="6" t="s">
        <v>2145</v>
      </c>
      <c r="E334" s="6" t="s">
        <v>290</v>
      </c>
      <c r="F334" s="6" t="s">
        <v>2146</v>
      </c>
      <c r="G334" s="6" t="s">
        <v>2147</v>
      </c>
      <c r="H334" s="6" t="s">
        <v>2148</v>
      </c>
      <c r="I334" s="6" t="s">
        <v>128</v>
      </c>
      <c r="J334" s="18" t="str">
        <f>"91604"</f>
        <v>91604</v>
      </c>
      <c r="K334" s="6"/>
      <c r="L334" s="6" t="s">
        <v>22</v>
      </c>
      <c r="M334" s="6" t="s">
        <v>2149</v>
      </c>
      <c r="N334" s="7" t="s">
        <v>2150</v>
      </c>
    </row>
    <row r="335" spans="1:14" x14ac:dyDescent="0.3">
      <c r="A335" s="18" t="s">
        <v>179</v>
      </c>
      <c r="B335" s="18" t="s">
        <v>180</v>
      </c>
      <c r="C335" s="6"/>
      <c r="D335" s="6" t="s">
        <v>181</v>
      </c>
      <c r="E335" s="6" t="s">
        <v>46</v>
      </c>
      <c r="F335" s="6" t="s">
        <v>182</v>
      </c>
      <c r="G335" s="6"/>
      <c r="H335" s="6" t="s">
        <v>183</v>
      </c>
      <c r="I335" s="6" t="s">
        <v>118</v>
      </c>
      <c r="J335" s="18" t="str">
        <f>"48823"</f>
        <v>48823</v>
      </c>
      <c r="K335" s="6"/>
      <c r="L335" s="6" t="s">
        <v>22</v>
      </c>
      <c r="M335" s="6" t="s">
        <v>184</v>
      </c>
      <c r="N335" s="7" t="s">
        <v>185</v>
      </c>
    </row>
    <row r="336" spans="1:14" x14ac:dyDescent="0.3">
      <c r="A336" s="18" t="s">
        <v>489</v>
      </c>
      <c r="B336" s="18" t="s">
        <v>2464</v>
      </c>
      <c r="C336" s="6"/>
      <c r="D336" s="6" t="s">
        <v>2465</v>
      </c>
      <c r="E336" s="6" t="s">
        <v>2466</v>
      </c>
      <c r="F336" s="6" t="s">
        <v>2467</v>
      </c>
      <c r="G336" s="6"/>
      <c r="H336" s="6" t="s">
        <v>2468</v>
      </c>
      <c r="I336" s="6" t="s">
        <v>1217</v>
      </c>
      <c r="J336" s="18" t="str">
        <f>"36104"</f>
        <v>36104</v>
      </c>
      <c r="K336" s="6"/>
      <c r="L336" s="6" t="s">
        <v>22</v>
      </c>
      <c r="M336" s="6" t="s">
        <v>2469</v>
      </c>
      <c r="N336" s="7" t="s">
        <v>2470</v>
      </c>
    </row>
    <row r="337" spans="1:14" x14ac:dyDescent="0.3">
      <c r="A337" s="18" t="s">
        <v>932</v>
      </c>
      <c r="B337" s="18" t="s">
        <v>113</v>
      </c>
      <c r="C337" s="6"/>
      <c r="D337" s="6" t="s">
        <v>827</v>
      </c>
      <c r="E337" s="6" t="s">
        <v>759</v>
      </c>
      <c r="F337" s="6" t="s">
        <v>1107</v>
      </c>
      <c r="G337" s="6"/>
      <c r="H337" s="6" t="s">
        <v>38</v>
      </c>
      <c r="I337" s="6" t="s">
        <v>39</v>
      </c>
      <c r="J337" s="18" t="str">
        <f>"20590"</f>
        <v>20590</v>
      </c>
      <c r="K337" s="6"/>
      <c r="L337" s="6" t="s">
        <v>22</v>
      </c>
      <c r="M337" s="6" t="s">
        <v>2356</v>
      </c>
      <c r="N337" s="7" t="s">
        <v>2357</v>
      </c>
    </row>
    <row r="338" spans="1:14" x14ac:dyDescent="0.3">
      <c r="A338" s="18" t="s">
        <v>2224</v>
      </c>
      <c r="B338" s="18" t="s">
        <v>2225</v>
      </c>
      <c r="C338" s="6"/>
      <c r="D338" s="6" t="s">
        <v>2201</v>
      </c>
      <c r="E338" s="6"/>
      <c r="F338" s="6" t="s">
        <v>2202</v>
      </c>
      <c r="G338" s="6" t="s">
        <v>170</v>
      </c>
      <c r="H338" s="6" t="s">
        <v>38</v>
      </c>
      <c r="I338" s="6" t="s">
        <v>39</v>
      </c>
      <c r="J338" s="18" t="str">
        <f>"20001"</f>
        <v>20001</v>
      </c>
      <c r="K338" s="6"/>
      <c r="L338" s="6" t="s">
        <v>22</v>
      </c>
      <c r="M338" s="6" t="s">
        <v>2938</v>
      </c>
      <c r="N338" s="7" t="s">
        <v>2226</v>
      </c>
    </row>
    <row r="339" spans="1:14" x14ac:dyDescent="0.3">
      <c r="A339" s="18" t="s">
        <v>757</v>
      </c>
      <c r="B339" s="18" t="s">
        <v>2736</v>
      </c>
      <c r="C339" s="6"/>
      <c r="D339" s="6" t="s">
        <v>2737</v>
      </c>
      <c r="E339" s="6" t="s">
        <v>2738</v>
      </c>
      <c r="F339" s="6" t="s">
        <v>2739</v>
      </c>
      <c r="G339" s="6"/>
      <c r="H339" s="6" t="s">
        <v>33</v>
      </c>
      <c r="I339" s="6" t="s">
        <v>1786</v>
      </c>
      <c r="J339" s="18" t="str">
        <f>"53707-7996"</f>
        <v>53707-7996</v>
      </c>
      <c r="K339" s="6"/>
      <c r="L339" s="6" t="s">
        <v>22</v>
      </c>
      <c r="M339" s="6" t="s">
        <v>2740</v>
      </c>
      <c r="N339" s="7" t="s">
        <v>2741</v>
      </c>
    </row>
    <row r="340" spans="1:14" x14ac:dyDescent="0.3">
      <c r="A340" s="18" t="s">
        <v>104</v>
      </c>
      <c r="B340" s="18" t="s">
        <v>1232</v>
      </c>
      <c r="C340" s="6"/>
      <c r="D340" s="6" t="s">
        <v>1725</v>
      </c>
      <c r="E340" s="6" t="s">
        <v>1210</v>
      </c>
      <c r="F340" s="6" t="s">
        <v>2584</v>
      </c>
      <c r="G340" s="6"/>
      <c r="H340" s="6" t="s">
        <v>364</v>
      </c>
      <c r="I340" s="6" t="s">
        <v>172</v>
      </c>
      <c r="J340" s="18" t="str">
        <f>"40622"</f>
        <v>40622</v>
      </c>
      <c r="K340" s="6"/>
      <c r="L340" s="6" t="s">
        <v>22</v>
      </c>
      <c r="M340" s="6" t="s">
        <v>2591</v>
      </c>
      <c r="N340" s="7" t="s">
        <v>2629</v>
      </c>
    </row>
    <row r="341" spans="1:14" x14ac:dyDescent="0.3">
      <c r="A341" s="18" t="s">
        <v>1231</v>
      </c>
      <c r="B341" s="18" t="s">
        <v>1232</v>
      </c>
      <c r="C341" s="6"/>
      <c r="D341" s="6" t="s">
        <v>730</v>
      </c>
      <c r="E341" s="6" t="s">
        <v>3312</v>
      </c>
      <c r="F341" s="6" t="s">
        <v>1233</v>
      </c>
      <c r="G341" s="6"/>
      <c r="H341" s="6" t="s">
        <v>1234</v>
      </c>
      <c r="I341" s="6" t="s">
        <v>86</v>
      </c>
      <c r="J341" s="18" t="str">
        <f>"13212"</f>
        <v>13212</v>
      </c>
      <c r="K341" s="6"/>
      <c r="L341" s="6" t="s">
        <v>22</v>
      </c>
      <c r="M341" s="6" t="s">
        <v>1235</v>
      </c>
      <c r="N341" s="7" t="s">
        <v>1236</v>
      </c>
    </row>
    <row r="342" spans="1:14" x14ac:dyDescent="0.3">
      <c r="A342" s="18" t="s">
        <v>1871</v>
      </c>
      <c r="B342" s="18" t="s">
        <v>1872</v>
      </c>
      <c r="C342" s="6"/>
      <c r="D342" s="6" t="s">
        <v>1873</v>
      </c>
      <c r="E342" s="6" t="s">
        <v>1874</v>
      </c>
      <c r="F342" s="6" t="s">
        <v>1875</v>
      </c>
      <c r="G342" s="6" t="s">
        <v>1876</v>
      </c>
      <c r="H342" s="6" t="s">
        <v>710</v>
      </c>
      <c r="I342" s="6" t="s">
        <v>86</v>
      </c>
      <c r="J342" s="18" t="str">
        <f>"12205"</f>
        <v>12205</v>
      </c>
      <c r="K342" s="6"/>
      <c r="L342" s="6" t="s">
        <v>22</v>
      </c>
      <c r="M342" s="6" t="s">
        <v>1877</v>
      </c>
      <c r="N342" s="7" t="s">
        <v>1878</v>
      </c>
    </row>
    <row r="343" spans="1:14" x14ac:dyDescent="0.3">
      <c r="A343" s="18" t="s">
        <v>2315</v>
      </c>
      <c r="B343" s="18" t="s">
        <v>2316</v>
      </c>
      <c r="C343" s="6"/>
      <c r="D343" s="6" t="s">
        <v>2317</v>
      </c>
      <c r="E343" s="6" t="s">
        <v>1030</v>
      </c>
      <c r="F343" s="6" t="s">
        <v>2318</v>
      </c>
      <c r="G343" s="6"/>
      <c r="H343" s="6" t="s">
        <v>364</v>
      </c>
      <c r="I343" s="6" t="s">
        <v>172</v>
      </c>
      <c r="J343" s="18" t="str">
        <f>"40601"</f>
        <v>40601</v>
      </c>
      <c r="K343" s="6"/>
      <c r="L343" s="6" t="s">
        <v>22</v>
      </c>
      <c r="M343" s="6" t="s">
        <v>2319</v>
      </c>
      <c r="N343" s="7" t="s">
        <v>2320</v>
      </c>
    </row>
    <row r="344" spans="1:14" x14ac:dyDescent="0.3">
      <c r="A344" s="18" t="s">
        <v>439</v>
      </c>
      <c r="B344" s="18" t="s">
        <v>841</v>
      </c>
      <c r="C344" s="6"/>
      <c r="D344" s="6" t="s">
        <v>842</v>
      </c>
      <c r="E344" s="6" t="s">
        <v>843</v>
      </c>
      <c r="F344" s="6" t="s">
        <v>844</v>
      </c>
      <c r="G344" s="6"/>
      <c r="H344" s="6" t="s">
        <v>845</v>
      </c>
      <c r="I344" s="6" t="s">
        <v>76</v>
      </c>
      <c r="J344" s="18" t="str">
        <f>"78756-2509"</f>
        <v>78756-2509</v>
      </c>
      <c r="K344" s="6"/>
      <c r="L344" s="6" t="s">
        <v>22</v>
      </c>
      <c r="M344" s="6" t="s">
        <v>846</v>
      </c>
      <c r="N344" s="7" t="s">
        <v>847</v>
      </c>
    </row>
    <row r="345" spans="1:14" x14ac:dyDescent="0.3">
      <c r="A345" s="18" t="s">
        <v>141</v>
      </c>
      <c r="B345" s="18" t="s">
        <v>142</v>
      </c>
      <c r="C345" s="6"/>
      <c r="D345" s="6" t="s">
        <v>143</v>
      </c>
      <c r="E345" s="6" t="s">
        <v>144</v>
      </c>
      <c r="F345" s="6" t="s">
        <v>145</v>
      </c>
      <c r="G345" s="6"/>
      <c r="H345" s="6" t="s">
        <v>146</v>
      </c>
      <c r="I345" s="6" t="s">
        <v>147</v>
      </c>
      <c r="J345" s="18" t="str">
        <f>"58505-0700"</f>
        <v>58505-0700</v>
      </c>
      <c r="K345" s="6"/>
      <c r="L345" s="6" t="s">
        <v>22</v>
      </c>
      <c r="M345" s="6" t="s">
        <v>148</v>
      </c>
      <c r="N345" s="7" t="s">
        <v>149</v>
      </c>
    </row>
    <row r="346" spans="1:14" x14ac:dyDescent="0.3">
      <c r="A346" s="18" t="s">
        <v>329</v>
      </c>
      <c r="B346" s="18" t="s">
        <v>1641</v>
      </c>
      <c r="C346" s="6" t="s">
        <v>2934</v>
      </c>
      <c r="D346" s="6" t="s">
        <v>1635</v>
      </c>
      <c r="E346" s="6" t="s">
        <v>1636</v>
      </c>
      <c r="F346" s="6" t="s">
        <v>1637</v>
      </c>
      <c r="G346" s="6"/>
      <c r="H346" s="6" t="s">
        <v>1638</v>
      </c>
      <c r="I346" s="6" t="s">
        <v>486</v>
      </c>
      <c r="J346" s="18" t="str">
        <f>"85007"</f>
        <v>85007</v>
      </c>
      <c r="K346" s="6"/>
      <c r="L346" s="6" t="s">
        <v>22</v>
      </c>
      <c r="M346" s="6" t="s">
        <v>1642</v>
      </c>
      <c r="N346" s="7" t="s">
        <v>1643</v>
      </c>
    </row>
    <row r="347" spans="1:14" x14ac:dyDescent="0.3">
      <c r="A347" s="18" t="s">
        <v>1568</v>
      </c>
      <c r="B347" s="18" t="s">
        <v>1641</v>
      </c>
      <c r="C347" s="6"/>
      <c r="D347" s="6" t="s">
        <v>1725</v>
      </c>
      <c r="E347" s="6" t="s">
        <v>2604</v>
      </c>
      <c r="F347" s="6" t="s">
        <v>2584</v>
      </c>
      <c r="G347" s="6"/>
      <c r="H347" s="6" t="s">
        <v>364</v>
      </c>
      <c r="I347" s="6" t="s">
        <v>172</v>
      </c>
      <c r="J347" s="18" t="str">
        <f>"40622"</f>
        <v>40622</v>
      </c>
      <c r="K347" s="6"/>
      <c r="L347" s="6" t="s">
        <v>22</v>
      </c>
      <c r="M347" s="6" t="s">
        <v>2591</v>
      </c>
      <c r="N347" s="7" t="s">
        <v>2612</v>
      </c>
    </row>
    <row r="348" spans="1:14" x14ac:dyDescent="0.3">
      <c r="A348" s="18" t="s">
        <v>2568</v>
      </c>
      <c r="B348" s="18" t="s">
        <v>2569</v>
      </c>
      <c r="C348" s="6"/>
      <c r="D348" s="6" t="s">
        <v>2570</v>
      </c>
      <c r="E348" s="6" t="s">
        <v>2571</v>
      </c>
      <c r="F348" s="6" t="s">
        <v>2572</v>
      </c>
      <c r="G348" s="6" t="s">
        <v>2573</v>
      </c>
      <c r="H348" s="6" t="s">
        <v>2574</v>
      </c>
      <c r="I348" s="6" t="s">
        <v>725</v>
      </c>
      <c r="J348" s="18" t="str">
        <f>"43223"</f>
        <v>43223</v>
      </c>
      <c r="K348" s="6"/>
      <c r="L348" s="6" t="s">
        <v>22</v>
      </c>
      <c r="M348" s="6" t="s">
        <v>2575</v>
      </c>
      <c r="N348" s="7" t="s">
        <v>2576</v>
      </c>
    </row>
    <row r="349" spans="1:14" x14ac:dyDescent="0.3">
      <c r="A349" s="18" t="s">
        <v>1136</v>
      </c>
      <c r="B349" s="18" t="s">
        <v>819</v>
      </c>
      <c r="C349" s="6"/>
      <c r="D349" s="6" t="s">
        <v>1126</v>
      </c>
      <c r="E349" s="6" t="s">
        <v>1137</v>
      </c>
      <c r="F349" s="6" t="s">
        <v>1128</v>
      </c>
      <c r="G349" s="6" t="s">
        <v>1129</v>
      </c>
      <c r="H349" s="6" t="s">
        <v>928</v>
      </c>
      <c r="I349" s="6" t="s">
        <v>30</v>
      </c>
      <c r="J349" s="18" t="str">
        <f>"23219"</f>
        <v>23219</v>
      </c>
      <c r="K349" s="6"/>
      <c r="L349" s="6" t="s">
        <v>22</v>
      </c>
      <c r="M349" s="6" t="s">
        <v>1130</v>
      </c>
      <c r="N349" s="7" t="s">
        <v>1138</v>
      </c>
    </row>
    <row r="350" spans="1:14" x14ac:dyDescent="0.3">
      <c r="A350" s="18" t="s">
        <v>121</v>
      </c>
      <c r="B350" s="18" t="s">
        <v>819</v>
      </c>
      <c r="C350" s="6"/>
      <c r="D350" s="6" t="s">
        <v>820</v>
      </c>
      <c r="E350" s="6" t="s">
        <v>177</v>
      </c>
      <c r="F350" s="6" t="s">
        <v>821</v>
      </c>
      <c r="G350" s="6"/>
      <c r="H350" s="6" t="s">
        <v>822</v>
      </c>
      <c r="I350" s="6" t="s">
        <v>21</v>
      </c>
      <c r="J350" s="18" t="str">
        <f>"20737"</f>
        <v>20737</v>
      </c>
      <c r="K350" s="6"/>
      <c r="L350" s="6" t="s">
        <v>22</v>
      </c>
      <c r="M350" s="6" t="s">
        <v>823</v>
      </c>
      <c r="N350" s="7" t="s">
        <v>824</v>
      </c>
    </row>
    <row r="351" spans="1:14" x14ac:dyDescent="0.3">
      <c r="A351" s="18" t="s">
        <v>218</v>
      </c>
      <c r="B351" s="18" t="s">
        <v>819</v>
      </c>
      <c r="C351" s="6"/>
      <c r="D351" s="6" t="s">
        <v>2317</v>
      </c>
      <c r="E351" s="6" t="s">
        <v>206</v>
      </c>
      <c r="F351" s="6" t="s">
        <v>2318</v>
      </c>
      <c r="G351" s="6"/>
      <c r="H351" s="6" t="s">
        <v>364</v>
      </c>
      <c r="I351" s="6" t="s">
        <v>172</v>
      </c>
      <c r="J351" s="18" t="str">
        <f>"40601"</f>
        <v>40601</v>
      </c>
      <c r="K351" s="6"/>
      <c r="L351" s="6" t="s">
        <v>22</v>
      </c>
      <c r="M351" s="6" t="s">
        <v>2323</v>
      </c>
      <c r="N351" s="7" t="s">
        <v>2335</v>
      </c>
    </row>
    <row r="352" spans="1:14" x14ac:dyDescent="0.3">
      <c r="A352" s="18" t="s">
        <v>1132</v>
      </c>
      <c r="B352" s="18" t="s">
        <v>1133</v>
      </c>
      <c r="C352" s="6"/>
      <c r="D352" s="6" t="s">
        <v>1126</v>
      </c>
      <c r="E352" s="6" t="s">
        <v>1134</v>
      </c>
      <c r="F352" s="6" t="s">
        <v>1128</v>
      </c>
      <c r="G352" s="6" t="s">
        <v>1129</v>
      </c>
      <c r="H352" s="6" t="s">
        <v>928</v>
      </c>
      <c r="I352" s="6" t="s">
        <v>30</v>
      </c>
      <c r="J352" s="18" t="str">
        <f>"23219"</f>
        <v>23219</v>
      </c>
      <c r="K352" s="6"/>
      <c r="L352" s="6" t="s">
        <v>22</v>
      </c>
      <c r="M352" s="6" t="s">
        <v>1130</v>
      </c>
      <c r="N352" s="7" t="s">
        <v>1135</v>
      </c>
    </row>
    <row r="353" spans="1:14" x14ac:dyDescent="0.3">
      <c r="A353" s="18" t="s">
        <v>2297</v>
      </c>
      <c r="B353" s="18" t="s">
        <v>3483</v>
      </c>
      <c r="C353" s="6"/>
      <c r="D353" s="6" t="s">
        <v>2881</v>
      </c>
      <c r="E353" s="6" t="s">
        <v>3484</v>
      </c>
      <c r="F353" s="6" t="s">
        <v>2882</v>
      </c>
      <c r="G353" s="6"/>
      <c r="H353" s="6" t="s">
        <v>1189</v>
      </c>
      <c r="I353" s="6" t="s">
        <v>734</v>
      </c>
      <c r="J353" s="18">
        <v>73104</v>
      </c>
      <c r="K353" s="6"/>
      <c r="L353" s="6" t="s">
        <v>22</v>
      </c>
      <c r="M353" s="6" t="s">
        <v>3485</v>
      </c>
      <c r="N353" s="8" t="s">
        <v>3486</v>
      </c>
    </row>
    <row r="354" spans="1:14" x14ac:dyDescent="0.3">
      <c r="A354" s="18" t="s">
        <v>53</v>
      </c>
      <c r="B354" s="18" t="s">
        <v>547</v>
      </c>
      <c r="C354" s="6"/>
      <c r="D354" s="6" t="s">
        <v>548</v>
      </c>
      <c r="E354" s="6" t="s">
        <v>549</v>
      </c>
      <c r="F354" s="6" t="s">
        <v>550</v>
      </c>
      <c r="G354" s="6"/>
      <c r="H354" s="6" t="s">
        <v>551</v>
      </c>
      <c r="I354" s="6" t="s">
        <v>30</v>
      </c>
      <c r="J354" s="18" t="str">
        <f>"22404-0330"</f>
        <v>22404-0330</v>
      </c>
      <c r="K354" s="6"/>
      <c r="L354" s="6" t="s">
        <v>22</v>
      </c>
      <c r="M354" s="6" t="s">
        <v>552</v>
      </c>
      <c r="N354" s="7" t="s">
        <v>553</v>
      </c>
    </row>
    <row r="355" spans="1:14" x14ac:dyDescent="0.3">
      <c r="A355" s="18" t="s">
        <v>1983</v>
      </c>
      <c r="B355" s="18" t="s">
        <v>1984</v>
      </c>
      <c r="C355" s="6"/>
      <c r="D355" s="6" t="s">
        <v>1985</v>
      </c>
      <c r="E355" s="6" t="s">
        <v>1986</v>
      </c>
      <c r="F355" s="6" t="s">
        <v>1987</v>
      </c>
      <c r="G355" s="6"/>
      <c r="H355" s="6" t="s">
        <v>1988</v>
      </c>
      <c r="I355" s="6" t="s">
        <v>68</v>
      </c>
      <c r="J355" s="18" t="str">
        <f>"01752"</f>
        <v>01752</v>
      </c>
      <c r="K355" s="6"/>
      <c r="L355" s="6" t="s">
        <v>22</v>
      </c>
      <c r="M355" s="6" t="s">
        <v>1989</v>
      </c>
      <c r="N355" s="7" t="s">
        <v>1990</v>
      </c>
    </row>
    <row r="356" spans="1:14" x14ac:dyDescent="0.3">
      <c r="A356" s="18" t="s">
        <v>1383</v>
      </c>
      <c r="B356" s="18" t="s">
        <v>1384</v>
      </c>
      <c r="C356" s="6"/>
      <c r="D356" s="6" t="s">
        <v>133</v>
      </c>
      <c r="E356" s="6" t="s">
        <v>1385</v>
      </c>
      <c r="F356" s="6" t="s">
        <v>135</v>
      </c>
      <c r="G356" s="6" t="s">
        <v>1376</v>
      </c>
      <c r="H356" s="6" t="s">
        <v>136</v>
      </c>
      <c r="I356" s="6" t="s">
        <v>137</v>
      </c>
      <c r="J356" s="18" t="str">
        <f>"96950"</f>
        <v>96950</v>
      </c>
      <c r="K356" s="6" t="s">
        <v>1377</v>
      </c>
      <c r="L356" s="6" t="s">
        <v>22</v>
      </c>
      <c r="M356" s="6" t="s">
        <v>1381</v>
      </c>
      <c r="N356" s="7" t="s">
        <v>1386</v>
      </c>
    </row>
    <row r="357" spans="1:14" x14ac:dyDescent="0.3">
      <c r="A357" s="18" t="s">
        <v>2325</v>
      </c>
      <c r="B357" s="18" t="s">
        <v>2365</v>
      </c>
      <c r="C357" s="6"/>
      <c r="D357" s="6" t="s">
        <v>2360</v>
      </c>
      <c r="E357" s="6" t="s">
        <v>1894</v>
      </c>
      <c r="F357" s="6" t="s">
        <v>2361</v>
      </c>
      <c r="G357" s="6"/>
      <c r="H357" s="6" t="s">
        <v>2362</v>
      </c>
      <c r="I357" s="6" t="s">
        <v>172</v>
      </c>
      <c r="J357" s="18" t="str">
        <f>"40507"</f>
        <v>40507</v>
      </c>
      <c r="K357" s="6"/>
      <c r="L357" s="6" t="s">
        <v>22</v>
      </c>
      <c r="M357" s="6" t="s">
        <v>2366</v>
      </c>
      <c r="N357" s="7" t="s">
        <v>2367</v>
      </c>
    </row>
    <row r="358" spans="1:14" x14ac:dyDescent="0.3">
      <c r="A358" s="18" t="s">
        <v>1409</v>
      </c>
      <c r="B358" s="18" t="s">
        <v>1410</v>
      </c>
      <c r="C358" s="6"/>
      <c r="D358" s="6" t="s">
        <v>827</v>
      </c>
      <c r="E358" s="6" t="s">
        <v>1411</v>
      </c>
      <c r="F358" s="6" t="s">
        <v>1412</v>
      </c>
      <c r="G358" s="6" t="s">
        <v>1413</v>
      </c>
      <c r="H358" s="6" t="s">
        <v>1414</v>
      </c>
      <c r="I358" s="6" t="s">
        <v>128</v>
      </c>
      <c r="J358" s="18" t="str">
        <f>"95814"</f>
        <v>95814</v>
      </c>
      <c r="K358" s="6"/>
      <c r="L358" s="6" t="s">
        <v>22</v>
      </c>
      <c r="M358" s="6" t="s">
        <v>1415</v>
      </c>
      <c r="N358" s="7" t="s">
        <v>1416</v>
      </c>
    </row>
    <row r="359" spans="1:14" x14ac:dyDescent="0.3">
      <c r="A359" s="18" t="s">
        <v>121</v>
      </c>
      <c r="B359" s="18" t="s">
        <v>1760</v>
      </c>
      <c r="C359" s="6"/>
      <c r="D359" s="6" t="s">
        <v>433</v>
      </c>
      <c r="E359" s="6" t="s">
        <v>270</v>
      </c>
      <c r="F359" s="6" t="s">
        <v>1756</v>
      </c>
      <c r="G359" s="6" t="s">
        <v>1757</v>
      </c>
      <c r="H359" s="6" t="s">
        <v>153</v>
      </c>
      <c r="I359" s="6" t="s">
        <v>154</v>
      </c>
      <c r="J359" s="18" t="str">
        <f>"46204"</f>
        <v>46204</v>
      </c>
      <c r="K359" s="6"/>
      <c r="L359" s="6" t="s">
        <v>22</v>
      </c>
      <c r="M359" s="6" t="s">
        <v>1761</v>
      </c>
      <c r="N359" s="7" t="s">
        <v>1762</v>
      </c>
    </row>
    <row r="360" spans="1:14" x14ac:dyDescent="0.3">
      <c r="A360" s="18" t="s">
        <v>398</v>
      </c>
      <c r="B360" s="18" t="s">
        <v>937</v>
      </c>
      <c r="C360" s="6"/>
      <c r="D360" s="6" t="s">
        <v>938</v>
      </c>
      <c r="E360" s="6" t="s">
        <v>939</v>
      </c>
      <c r="F360" s="6" t="s">
        <v>940</v>
      </c>
      <c r="G360" s="6"/>
      <c r="H360" s="6" t="s">
        <v>941</v>
      </c>
      <c r="I360" s="6" t="s">
        <v>21</v>
      </c>
      <c r="J360" s="18" t="str">
        <f>"20785"</f>
        <v>20785</v>
      </c>
      <c r="K360" s="6"/>
      <c r="L360" s="6" t="s">
        <v>22</v>
      </c>
      <c r="M360" s="6" t="s">
        <v>942</v>
      </c>
      <c r="N360" s="7" t="s">
        <v>943</v>
      </c>
    </row>
    <row r="361" spans="1:14" x14ac:dyDescent="0.3">
      <c r="A361" s="18" t="s">
        <v>650</v>
      </c>
      <c r="B361" s="18" t="s">
        <v>651</v>
      </c>
      <c r="C361" s="6"/>
      <c r="D361" s="6" t="s">
        <v>652</v>
      </c>
      <c r="E361" s="6" t="s">
        <v>653</v>
      </c>
      <c r="F361" s="6" t="s">
        <v>654</v>
      </c>
      <c r="G361" s="6" t="s">
        <v>655</v>
      </c>
      <c r="H361" s="6" t="s">
        <v>544</v>
      </c>
      <c r="I361" s="6" t="s">
        <v>30</v>
      </c>
      <c r="J361" s="18" t="str">
        <f>"22202-4801"</f>
        <v>22202-4801</v>
      </c>
      <c r="K361" s="6"/>
      <c r="L361" s="6" t="s">
        <v>22</v>
      </c>
      <c r="M361" s="6" t="s">
        <v>656</v>
      </c>
      <c r="N361" s="7" t="s">
        <v>657</v>
      </c>
    </row>
    <row r="362" spans="1:14" x14ac:dyDescent="0.3">
      <c r="A362" s="18" t="s">
        <v>737</v>
      </c>
      <c r="B362" s="18" t="s">
        <v>919</v>
      </c>
      <c r="C362" s="6"/>
      <c r="D362" s="6" t="s">
        <v>730</v>
      </c>
      <c r="E362" s="6" t="s">
        <v>920</v>
      </c>
      <c r="F362" s="6" t="s">
        <v>921</v>
      </c>
      <c r="G362" s="6"/>
      <c r="H362" s="6" t="s">
        <v>922</v>
      </c>
      <c r="I362" s="6" t="s">
        <v>454</v>
      </c>
      <c r="J362" s="18" t="str">
        <f>"60143"</f>
        <v>60143</v>
      </c>
      <c r="K362" s="6"/>
      <c r="L362" s="6" t="s">
        <v>22</v>
      </c>
      <c r="M362" s="6" t="s">
        <v>923</v>
      </c>
      <c r="N362" s="7" t="s">
        <v>924</v>
      </c>
    </row>
    <row r="363" spans="1:14" x14ac:dyDescent="0.3">
      <c r="A363" s="18" t="s">
        <v>2661</v>
      </c>
      <c r="B363" s="18" t="s">
        <v>1768</v>
      </c>
      <c r="C363" s="6"/>
      <c r="D363" s="6" t="s">
        <v>1830</v>
      </c>
      <c r="E363" s="6" t="s">
        <v>2662</v>
      </c>
      <c r="F363" s="6" t="s">
        <v>2663</v>
      </c>
      <c r="G363" s="6" t="s">
        <v>292</v>
      </c>
      <c r="H363" s="6" t="s">
        <v>38</v>
      </c>
      <c r="I363" s="6" t="s">
        <v>39</v>
      </c>
      <c r="J363" s="18" t="str">
        <f>"20005"</f>
        <v>20005</v>
      </c>
      <c r="K363" s="6"/>
      <c r="L363" s="6" t="s">
        <v>22</v>
      </c>
      <c r="M363" s="6" t="s">
        <v>2664</v>
      </c>
      <c r="N363" s="7" t="s">
        <v>2665</v>
      </c>
    </row>
    <row r="364" spans="1:14" x14ac:dyDescent="0.3">
      <c r="A364" s="18" t="s">
        <v>104</v>
      </c>
      <c r="B364" s="18" t="s">
        <v>1768</v>
      </c>
      <c r="C364" s="6"/>
      <c r="D364" s="6" t="s">
        <v>1769</v>
      </c>
      <c r="E364" s="6" t="s">
        <v>1770</v>
      </c>
      <c r="F364" s="6" t="s">
        <v>1771</v>
      </c>
      <c r="G364" s="6"/>
      <c r="H364" s="6" t="s">
        <v>364</v>
      </c>
      <c r="I364" s="6" t="s">
        <v>172</v>
      </c>
      <c r="J364" s="18" t="str">
        <f>"40601"</f>
        <v>40601</v>
      </c>
      <c r="K364" s="6"/>
      <c r="L364" s="6" t="s">
        <v>22</v>
      </c>
      <c r="M364" s="6" t="s">
        <v>1772</v>
      </c>
      <c r="N364" s="7" t="s">
        <v>1773</v>
      </c>
    </row>
    <row r="365" spans="1:14" x14ac:dyDescent="0.3">
      <c r="A365" s="18" t="s">
        <v>1957</v>
      </c>
      <c r="B365" s="18" t="s">
        <v>1958</v>
      </c>
      <c r="C365" s="6"/>
      <c r="D365" s="6" t="s">
        <v>1959</v>
      </c>
      <c r="E365" s="6" t="s">
        <v>836</v>
      </c>
      <c r="F365" s="6" t="s">
        <v>1960</v>
      </c>
      <c r="G365" s="6"/>
      <c r="H365" s="6" t="s">
        <v>1961</v>
      </c>
      <c r="I365" s="6" t="s">
        <v>172</v>
      </c>
      <c r="J365" s="18" t="str">
        <f>"41004"</f>
        <v>41004</v>
      </c>
      <c r="K365" s="6"/>
      <c r="L365" s="6" t="s">
        <v>22</v>
      </c>
      <c r="M365" s="6" t="s">
        <v>1962</v>
      </c>
      <c r="N365" s="7" t="s">
        <v>1963</v>
      </c>
    </row>
    <row r="366" spans="1:14" x14ac:dyDescent="0.3">
      <c r="A366" s="18" t="s">
        <v>287</v>
      </c>
      <c r="B366" s="18" t="s">
        <v>1887</v>
      </c>
      <c r="C366" s="6"/>
      <c r="D366" s="6" t="s">
        <v>1888</v>
      </c>
      <c r="E366" s="6" t="s">
        <v>1889</v>
      </c>
      <c r="F366" s="6" t="s">
        <v>1890</v>
      </c>
      <c r="G366" s="6"/>
      <c r="H366" s="6" t="s">
        <v>1245</v>
      </c>
      <c r="I366" s="6" t="s">
        <v>172</v>
      </c>
      <c r="J366" s="18" t="str">
        <f>"40229"</f>
        <v>40229</v>
      </c>
      <c r="K366" s="6"/>
      <c r="L366" s="6" t="s">
        <v>22</v>
      </c>
      <c r="M366" s="6" t="s">
        <v>1891</v>
      </c>
      <c r="N366" s="7" t="s">
        <v>1892</v>
      </c>
    </row>
    <row r="367" spans="1:14" x14ac:dyDescent="0.3">
      <c r="A367" s="18" t="s">
        <v>218</v>
      </c>
      <c r="B367" s="18" t="s">
        <v>219</v>
      </c>
      <c r="C367" s="6"/>
      <c r="D367" s="6" t="s">
        <v>212</v>
      </c>
      <c r="E367" s="6" t="s">
        <v>220</v>
      </c>
      <c r="F367" s="6" t="s">
        <v>214</v>
      </c>
      <c r="G367" s="6" t="s">
        <v>215</v>
      </c>
      <c r="H367" s="6" t="s">
        <v>216</v>
      </c>
      <c r="I367" s="6" t="s">
        <v>172</v>
      </c>
      <c r="J367" s="18" t="str">
        <f>"41005"</f>
        <v>41005</v>
      </c>
      <c r="K367" s="6"/>
      <c r="L367" s="6" t="s">
        <v>22</v>
      </c>
      <c r="M367" s="6" t="s">
        <v>217</v>
      </c>
      <c r="N367" s="7" t="s">
        <v>221</v>
      </c>
    </row>
    <row r="368" spans="1:14" x14ac:dyDescent="0.3">
      <c r="A368" s="18" t="s">
        <v>3392</v>
      </c>
      <c r="B368" s="18" t="s">
        <v>3393</v>
      </c>
      <c r="C368" s="6"/>
      <c r="D368" s="6" t="s">
        <v>3394</v>
      </c>
      <c r="E368" s="6" t="s">
        <v>3395</v>
      </c>
      <c r="F368" s="6" t="s">
        <v>3396</v>
      </c>
      <c r="G368" s="6"/>
      <c r="H368" s="6" t="s">
        <v>789</v>
      </c>
      <c r="I368" s="6" t="s">
        <v>381</v>
      </c>
      <c r="J368" s="18">
        <v>57069</v>
      </c>
      <c r="K368" s="6"/>
      <c r="L368" s="6" t="s">
        <v>22</v>
      </c>
      <c r="M368" s="6" t="s">
        <v>3397</v>
      </c>
      <c r="N368" s="8" t="s">
        <v>3398</v>
      </c>
    </row>
    <row r="369" spans="1:14" x14ac:dyDescent="0.3">
      <c r="A369" s="18" t="s">
        <v>165</v>
      </c>
      <c r="B369" s="18" t="s">
        <v>987</v>
      </c>
      <c r="C369" s="6"/>
      <c r="D369" s="6" t="s">
        <v>979</v>
      </c>
      <c r="E369" s="6" t="s">
        <v>988</v>
      </c>
      <c r="F369" s="6" t="s">
        <v>981</v>
      </c>
      <c r="G369" s="6" t="s">
        <v>982</v>
      </c>
      <c r="H369" s="6" t="s">
        <v>983</v>
      </c>
      <c r="I369" s="6" t="s">
        <v>984</v>
      </c>
      <c r="J369" s="18" t="str">
        <f>"05633-5001"</f>
        <v>05633-5001</v>
      </c>
      <c r="K369" s="6"/>
      <c r="L369" s="6" t="s">
        <v>22</v>
      </c>
      <c r="M369" s="6" t="s">
        <v>989</v>
      </c>
      <c r="N369" s="7" t="s">
        <v>990</v>
      </c>
    </row>
    <row r="370" spans="1:14" x14ac:dyDescent="0.3">
      <c r="A370" s="18" t="s">
        <v>3413</v>
      </c>
      <c r="B370" s="18" t="s">
        <v>3414</v>
      </c>
      <c r="C370" s="6"/>
      <c r="D370" s="6" t="s">
        <v>3415</v>
      </c>
      <c r="E370" s="6" t="s">
        <v>3416</v>
      </c>
      <c r="F370" s="6" t="s">
        <v>3417</v>
      </c>
      <c r="G370" s="6"/>
      <c r="H370" s="6" t="s">
        <v>3418</v>
      </c>
      <c r="I370" s="6" t="s">
        <v>1114</v>
      </c>
      <c r="J370" s="18">
        <v>15401</v>
      </c>
      <c r="K370" s="6"/>
      <c r="L370" s="6" t="s">
        <v>22</v>
      </c>
      <c r="M370" s="6" t="s">
        <v>3419</v>
      </c>
      <c r="N370" s="8" t="s">
        <v>3420</v>
      </c>
    </row>
    <row r="371" spans="1:14" x14ac:dyDescent="0.3">
      <c r="A371" s="18" t="s">
        <v>1866</v>
      </c>
      <c r="B371" s="18" t="s">
        <v>1867</v>
      </c>
      <c r="C371" s="6"/>
      <c r="D371" s="6" t="s">
        <v>615</v>
      </c>
      <c r="E371" s="6" t="s">
        <v>1868</v>
      </c>
      <c r="F371" s="6" t="s">
        <v>617</v>
      </c>
      <c r="G371" s="6"/>
      <c r="H371" s="6" t="s">
        <v>618</v>
      </c>
      <c r="I371" s="6" t="s">
        <v>49</v>
      </c>
      <c r="J371" s="18" t="str">
        <f>"08625-0048"</f>
        <v>08625-0048</v>
      </c>
      <c r="K371" s="6"/>
      <c r="L371" s="6" t="s">
        <v>22</v>
      </c>
      <c r="M371" s="23" t="s">
        <v>1869</v>
      </c>
      <c r="N371" s="7" t="s">
        <v>1870</v>
      </c>
    </row>
    <row r="372" spans="1:14" x14ac:dyDescent="0.3">
      <c r="A372" s="18" t="s">
        <v>588</v>
      </c>
      <c r="B372" s="18" t="s">
        <v>2773</v>
      </c>
      <c r="C372" s="6"/>
      <c r="D372" s="6" t="s">
        <v>827</v>
      </c>
      <c r="E372" s="6" t="s">
        <v>2003</v>
      </c>
      <c r="F372" s="6" t="s">
        <v>1107</v>
      </c>
      <c r="G372" s="6"/>
      <c r="H372" s="6" t="s">
        <v>38</v>
      </c>
      <c r="I372" s="6" t="s">
        <v>39</v>
      </c>
      <c r="J372" s="18" t="str">
        <f>"20590"</f>
        <v>20590</v>
      </c>
      <c r="K372" s="6"/>
      <c r="L372" s="6" t="s">
        <v>22</v>
      </c>
      <c r="M372" s="6" t="s">
        <v>2774</v>
      </c>
      <c r="N372" s="7" t="s">
        <v>2775</v>
      </c>
    </row>
    <row r="373" spans="1:14" x14ac:dyDescent="0.3">
      <c r="A373" s="18" t="s">
        <v>1644</v>
      </c>
      <c r="B373" s="18" t="s">
        <v>1645</v>
      </c>
      <c r="C373" s="6" t="s">
        <v>2934</v>
      </c>
      <c r="D373" s="6" t="s">
        <v>1635</v>
      </c>
      <c r="E373" s="6" t="s">
        <v>1636</v>
      </c>
      <c r="F373" s="6" t="s">
        <v>1637</v>
      </c>
      <c r="G373" s="6"/>
      <c r="H373" s="6" t="s">
        <v>1638</v>
      </c>
      <c r="I373" s="6" t="s">
        <v>486</v>
      </c>
      <c r="J373" s="18" t="str">
        <f>"85007"</f>
        <v>85007</v>
      </c>
      <c r="K373" s="6"/>
      <c r="L373" s="6" t="s">
        <v>22</v>
      </c>
      <c r="M373" s="6" t="s">
        <v>1639</v>
      </c>
      <c r="N373" s="7" t="s">
        <v>1646</v>
      </c>
    </row>
    <row r="374" spans="1:14" x14ac:dyDescent="0.3">
      <c r="A374" s="18" t="s">
        <v>1409</v>
      </c>
      <c r="B374" s="18" t="s">
        <v>2402</v>
      </c>
      <c r="C374" s="30"/>
      <c r="D374" s="6" t="s">
        <v>2403</v>
      </c>
      <c r="E374" s="6" t="s">
        <v>2404</v>
      </c>
      <c r="F374" s="30" t="s">
        <v>2405</v>
      </c>
      <c r="G374" s="6" t="s">
        <v>2406</v>
      </c>
      <c r="H374" s="6" t="s">
        <v>874</v>
      </c>
      <c r="I374" s="6" t="s">
        <v>875</v>
      </c>
      <c r="J374" s="18" t="str">
        <f>"37243"</f>
        <v>37243</v>
      </c>
      <c r="K374" s="30"/>
      <c r="L374" s="6" t="s">
        <v>22</v>
      </c>
      <c r="M374" s="23" t="s">
        <v>2407</v>
      </c>
      <c r="N374" s="49" t="s">
        <v>2408</v>
      </c>
    </row>
    <row r="375" spans="1:14" x14ac:dyDescent="0.3">
      <c r="A375" s="18" t="s">
        <v>1045</v>
      </c>
      <c r="B375" s="18" t="s">
        <v>3374</v>
      </c>
      <c r="C375" s="6"/>
      <c r="D375" s="6" t="s">
        <v>1659</v>
      </c>
      <c r="E375" s="6" t="s">
        <v>248</v>
      </c>
      <c r="F375" s="6" t="s">
        <v>3375</v>
      </c>
      <c r="G375" s="6"/>
      <c r="H375" s="6" t="s">
        <v>1660</v>
      </c>
      <c r="I375" s="6" t="s">
        <v>86</v>
      </c>
      <c r="J375" s="18">
        <v>13424</v>
      </c>
      <c r="K375" s="6"/>
      <c r="L375" s="6" t="s">
        <v>22</v>
      </c>
      <c r="M375" s="6" t="s">
        <v>3376</v>
      </c>
      <c r="N375" s="8" t="s">
        <v>3377</v>
      </c>
    </row>
    <row r="376" spans="1:14" x14ac:dyDescent="0.3">
      <c r="A376" s="18" t="s">
        <v>121</v>
      </c>
      <c r="B376" s="18" t="s">
        <v>1783</v>
      </c>
      <c r="C376" s="6"/>
      <c r="D376" s="6" t="s">
        <v>1784</v>
      </c>
      <c r="E376" s="6" t="s">
        <v>64</v>
      </c>
      <c r="F376" s="6" t="s">
        <v>1785</v>
      </c>
      <c r="G376" s="6"/>
      <c r="H376" s="6" t="s">
        <v>33</v>
      </c>
      <c r="I376" s="6" t="s">
        <v>1786</v>
      </c>
      <c r="J376" s="18" t="str">
        <f>"53707-7936"</f>
        <v>53707-7936</v>
      </c>
      <c r="K376" s="6"/>
      <c r="L376" s="6" t="s">
        <v>22</v>
      </c>
      <c r="M376" s="6" t="s">
        <v>1787</v>
      </c>
      <c r="N376" s="7" t="s">
        <v>1788</v>
      </c>
    </row>
    <row r="377" spans="1:14" x14ac:dyDescent="0.3">
      <c r="A377" s="18" t="s">
        <v>113</v>
      </c>
      <c r="B377" s="18" t="s">
        <v>621</v>
      </c>
      <c r="C377" s="6"/>
      <c r="D377" s="6" t="s">
        <v>622</v>
      </c>
      <c r="E377" s="6" t="s">
        <v>337</v>
      </c>
      <c r="F377" s="6" t="s">
        <v>623</v>
      </c>
      <c r="G377" s="6"/>
      <c r="H377" s="6" t="s">
        <v>624</v>
      </c>
      <c r="I377" s="6" t="s">
        <v>172</v>
      </c>
      <c r="J377" s="18" t="str">
        <f>"41056"</f>
        <v>41056</v>
      </c>
      <c r="K377" s="6"/>
      <c r="L377" s="6" t="s">
        <v>22</v>
      </c>
      <c r="M377" s="6" t="s">
        <v>625</v>
      </c>
      <c r="N377" s="7" t="s">
        <v>626</v>
      </c>
    </row>
    <row r="378" spans="1:14" x14ac:dyDescent="0.3">
      <c r="A378" s="18" t="s">
        <v>1095</v>
      </c>
      <c r="B378" s="18" t="s">
        <v>621</v>
      </c>
      <c r="C378" s="6"/>
      <c r="D378" s="6" t="s">
        <v>1077</v>
      </c>
      <c r="E378" s="6" t="s">
        <v>1096</v>
      </c>
      <c r="F378" s="6" t="s">
        <v>1081</v>
      </c>
      <c r="G378" s="6"/>
      <c r="H378" s="6" t="s">
        <v>1079</v>
      </c>
      <c r="I378" s="6" t="s">
        <v>373</v>
      </c>
      <c r="J378" s="18" t="str">
        <f>"55101-5150"</f>
        <v>55101-5150</v>
      </c>
      <c r="K378" s="6"/>
      <c r="L378" s="6" t="s">
        <v>22</v>
      </c>
      <c r="M378" s="6" t="s">
        <v>1097</v>
      </c>
      <c r="N378" s="7" t="s">
        <v>1098</v>
      </c>
    </row>
    <row r="379" spans="1:14" x14ac:dyDescent="0.3">
      <c r="A379" s="18" t="s">
        <v>1919</v>
      </c>
      <c r="B379" s="18" t="s">
        <v>1920</v>
      </c>
      <c r="C379" s="6"/>
      <c r="D379" s="6" t="s">
        <v>1913</v>
      </c>
      <c r="E379" s="6" t="s">
        <v>1921</v>
      </c>
      <c r="F379" s="6" t="s">
        <v>1914</v>
      </c>
      <c r="G379" s="6" t="s">
        <v>1915</v>
      </c>
      <c r="H379" s="6" t="s">
        <v>1916</v>
      </c>
      <c r="I379" s="6" t="s">
        <v>703</v>
      </c>
      <c r="J379" s="18" t="str">
        <f>"06320"</f>
        <v>06320</v>
      </c>
      <c r="K379" s="6"/>
      <c r="L379" s="6" t="s">
        <v>22</v>
      </c>
      <c r="M379" s="6" t="s">
        <v>1917</v>
      </c>
      <c r="N379" s="7" t="s">
        <v>1922</v>
      </c>
    </row>
    <row r="380" spans="1:14" x14ac:dyDescent="0.3">
      <c r="A380" s="18" t="s">
        <v>42</v>
      </c>
      <c r="B380" s="18" t="s">
        <v>275</v>
      </c>
      <c r="C380" s="6"/>
      <c r="D380" s="6" t="s">
        <v>276</v>
      </c>
      <c r="E380" s="6" t="s">
        <v>277</v>
      </c>
      <c r="F380" s="6" t="s">
        <v>278</v>
      </c>
      <c r="G380" s="6"/>
      <c r="H380" s="6" t="s">
        <v>279</v>
      </c>
      <c r="I380" s="6" t="s">
        <v>280</v>
      </c>
      <c r="J380" s="18" t="str">
        <f>"98504-0944"</f>
        <v>98504-0944</v>
      </c>
      <c r="K380" s="6"/>
      <c r="L380" s="6" t="s">
        <v>22</v>
      </c>
      <c r="M380" s="6" t="s">
        <v>281</v>
      </c>
      <c r="N380" s="7" t="s">
        <v>282</v>
      </c>
    </row>
    <row r="381" spans="1:14" x14ac:dyDescent="0.3">
      <c r="A381" s="18" t="s">
        <v>2434</v>
      </c>
      <c r="B381" s="18" t="s">
        <v>2435</v>
      </c>
      <c r="C381" s="6"/>
      <c r="D381" s="6" t="s">
        <v>2425</v>
      </c>
      <c r="E381" s="6" t="s">
        <v>2436</v>
      </c>
      <c r="F381" s="6" t="s">
        <v>2437</v>
      </c>
      <c r="G381" s="6"/>
      <c r="H381" s="6" t="s">
        <v>2438</v>
      </c>
      <c r="I381" s="6" t="s">
        <v>725</v>
      </c>
      <c r="J381" s="18" t="str">
        <f>"45202"</f>
        <v>45202</v>
      </c>
      <c r="K381" s="6"/>
      <c r="L381" s="6" t="s">
        <v>22</v>
      </c>
      <c r="M381" s="6" t="s">
        <v>2439</v>
      </c>
      <c r="N381" s="7" t="s">
        <v>2440</v>
      </c>
    </row>
    <row r="382" spans="1:14" x14ac:dyDescent="0.3">
      <c r="A382" s="18" t="s">
        <v>631</v>
      </c>
      <c r="B382" s="18" t="s">
        <v>2348</v>
      </c>
      <c r="C382" s="6"/>
      <c r="D382" s="6" t="s">
        <v>2317</v>
      </c>
      <c r="E382" s="6" t="s">
        <v>2349</v>
      </c>
      <c r="F382" s="6" t="s">
        <v>2318</v>
      </c>
      <c r="G382" s="6"/>
      <c r="H382" s="6" t="s">
        <v>364</v>
      </c>
      <c r="I382" s="6" t="s">
        <v>172</v>
      </c>
      <c r="J382" s="18" t="str">
        <f>"40601"</f>
        <v>40601</v>
      </c>
      <c r="K382" s="6"/>
      <c r="L382" s="6" t="s">
        <v>22</v>
      </c>
      <c r="M382" s="6" t="s">
        <v>2323</v>
      </c>
      <c r="N382" s="7" t="s">
        <v>2350</v>
      </c>
    </row>
    <row r="383" spans="1:14" x14ac:dyDescent="0.3">
      <c r="A383" s="18" t="s">
        <v>121</v>
      </c>
      <c r="B383" s="18" t="s">
        <v>3556</v>
      </c>
      <c r="C383" s="6"/>
      <c r="D383" s="6" t="s">
        <v>3557</v>
      </c>
      <c r="E383" s="6" t="s">
        <v>3558</v>
      </c>
      <c r="F383" s="6" t="s">
        <v>3559</v>
      </c>
      <c r="G383" s="6" t="s">
        <v>3560</v>
      </c>
      <c r="H383" s="6" t="s">
        <v>3561</v>
      </c>
      <c r="I383" s="6" t="s">
        <v>560</v>
      </c>
      <c r="J383" s="18">
        <v>39759</v>
      </c>
      <c r="K383" s="6"/>
      <c r="L383" s="6" t="s">
        <v>22</v>
      </c>
      <c r="M383" s="6" t="s">
        <v>3562</v>
      </c>
      <c r="N383" s="8" t="s">
        <v>3563</v>
      </c>
    </row>
    <row r="384" spans="1:14" x14ac:dyDescent="0.3">
      <c r="A384" s="18" t="s">
        <v>1208</v>
      </c>
      <c r="B384" s="18" t="s">
        <v>211</v>
      </c>
      <c r="C384" s="6"/>
      <c r="D384" s="6" t="s">
        <v>1510</v>
      </c>
      <c r="E384" s="6" t="s">
        <v>2113</v>
      </c>
      <c r="F384" s="6" t="s">
        <v>1511</v>
      </c>
      <c r="G384" s="6" t="s">
        <v>1512</v>
      </c>
      <c r="H384" s="6" t="s">
        <v>1513</v>
      </c>
      <c r="I384" s="6" t="s">
        <v>1514</v>
      </c>
      <c r="J384" s="18" t="str">
        <f>"50319-0248"</f>
        <v>50319-0248</v>
      </c>
      <c r="K384" s="6"/>
      <c r="L384" s="6" t="s">
        <v>22</v>
      </c>
      <c r="M384" s="6" t="s">
        <v>2114</v>
      </c>
      <c r="N384" s="7" t="s">
        <v>2115</v>
      </c>
    </row>
    <row r="385" spans="1:14" x14ac:dyDescent="0.3">
      <c r="A385" s="18" t="s">
        <v>897</v>
      </c>
      <c r="B385" s="18" t="s">
        <v>898</v>
      </c>
      <c r="C385" s="6"/>
      <c r="D385" s="6" t="s">
        <v>870</v>
      </c>
      <c r="E385" s="6" t="s">
        <v>731</v>
      </c>
      <c r="F385" s="6" t="s">
        <v>872</v>
      </c>
      <c r="G385" s="6" t="s">
        <v>899</v>
      </c>
      <c r="H385" s="6" t="s">
        <v>874</v>
      </c>
      <c r="I385" s="6" t="s">
        <v>875</v>
      </c>
      <c r="J385" s="18" t="str">
        <f>"37243-0341"</f>
        <v>37243-0341</v>
      </c>
      <c r="K385" s="6"/>
      <c r="L385" s="6" t="s">
        <v>22</v>
      </c>
      <c r="M385" s="6" t="s">
        <v>900</v>
      </c>
      <c r="N385" s="7" t="s">
        <v>901</v>
      </c>
    </row>
    <row r="386" spans="1:14" x14ac:dyDescent="0.3">
      <c r="A386" s="18" t="s">
        <v>165</v>
      </c>
      <c r="B386" s="18" t="s">
        <v>2670</v>
      </c>
      <c r="C386" s="6"/>
      <c r="D386" s="6" t="s">
        <v>2317</v>
      </c>
      <c r="E386" s="6" t="s">
        <v>1030</v>
      </c>
      <c r="F386" s="6" t="s">
        <v>2671</v>
      </c>
      <c r="G386" s="6"/>
      <c r="H386" s="6" t="s">
        <v>2672</v>
      </c>
      <c r="I386" s="6" t="s">
        <v>172</v>
      </c>
      <c r="J386" s="18" t="str">
        <f>"42104"</f>
        <v>42104</v>
      </c>
      <c r="K386" s="6"/>
      <c r="L386" s="6" t="s">
        <v>22</v>
      </c>
      <c r="M386" s="6" t="s">
        <v>2323</v>
      </c>
      <c r="N386" s="7" t="s">
        <v>2673</v>
      </c>
    </row>
    <row r="387" spans="1:14" x14ac:dyDescent="0.3">
      <c r="A387" s="18" t="s">
        <v>2715</v>
      </c>
      <c r="B387" s="18" t="s">
        <v>959</v>
      </c>
      <c r="C387" s="6"/>
      <c r="D387" s="6" t="s">
        <v>2716</v>
      </c>
      <c r="E387" s="6" t="s">
        <v>2717</v>
      </c>
      <c r="F387" s="6" t="s">
        <v>2718</v>
      </c>
      <c r="G387" s="6" t="s">
        <v>2719</v>
      </c>
      <c r="H387" s="6" t="s">
        <v>544</v>
      </c>
      <c r="I387" s="6" t="s">
        <v>30</v>
      </c>
      <c r="J387" s="18" t="str">
        <f>"22203-4181"</f>
        <v>22203-4181</v>
      </c>
      <c r="K387" s="6"/>
      <c r="L387" s="6" t="s">
        <v>22</v>
      </c>
      <c r="M387" s="6" t="s">
        <v>2720</v>
      </c>
      <c r="N387" s="7" t="s">
        <v>2721</v>
      </c>
    </row>
    <row r="388" spans="1:14" x14ac:dyDescent="0.3">
      <c r="A388" s="18" t="s">
        <v>402</v>
      </c>
      <c r="B388" s="18" t="s">
        <v>309</v>
      </c>
      <c r="C388" s="6"/>
      <c r="D388" s="6" t="s">
        <v>533</v>
      </c>
      <c r="E388" s="6" t="s">
        <v>534</v>
      </c>
      <c r="F388" s="6" t="s">
        <v>535</v>
      </c>
      <c r="G388" s="6"/>
      <c r="H388" s="6" t="s">
        <v>536</v>
      </c>
      <c r="I388" s="6" t="s">
        <v>172</v>
      </c>
      <c r="J388" s="18" t="str">
        <f>"41075"</f>
        <v>41075</v>
      </c>
      <c r="K388" s="6"/>
      <c r="L388" s="6" t="s">
        <v>22</v>
      </c>
      <c r="M388" s="6" t="s">
        <v>537</v>
      </c>
      <c r="N388" s="7" t="s">
        <v>538</v>
      </c>
    </row>
    <row r="389" spans="1:14" x14ac:dyDescent="0.3">
      <c r="A389" s="18" t="s">
        <v>308</v>
      </c>
      <c r="B389" s="18" t="s">
        <v>309</v>
      </c>
      <c r="C389" s="6"/>
      <c r="D389" s="6" t="s">
        <v>310</v>
      </c>
      <c r="E389" s="6" t="s">
        <v>311</v>
      </c>
      <c r="F389" s="6" t="s">
        <v>312</v>
      </c>
      <c r="G389" s="6" t="s">
        <v>170</v>
      </c>
      <c r="H389" s="6" t="s">
        <v>313</v>
      </c>
      <c r="I389" s="6" t="s">
        <v>172</v>
      </c>
      <c r="J389" s="18" t="str">
        <f>"41031"</f>
        <v>41031</v>
      </c>
      <c r="K389" s="6"/>
      <c r="L389" s="6" t="s">
        <v>22</v>
      </c>
      <c r="M389" s="6" t="s">
        <v>314</v>
      </c>
      <c r="N389" s="7" t="s">
        <v>315</v>
      </c>
    </row>
    <row r="390" spans="1:14" x14ac:dyDescent="0.3">
      <c r="A390" s="18" t="s">
        <v>98</v>
      </c>
      <c r="B390" s="18" t="s">
        <v>99</v>
      </c>
      <c r="C390" s="6"/>
      <c r="D390" s="6" t="s">
        <v>91</v>
      </c>
      <c r="E390" s="6" t="s">
        <v>100</v>
      </c>
      <c r="F390" s="6" t="s">
        <v>93</v>
      </c>
      <c r="G390" s="6" t="s">
        <v>101</v>
      </c>
      <c r="H390" s="6" t="s">
        <v>94</v>
      </c>
      <c r="I390" s="6" t="s">
        <v>95</v>
      </c>
      <c r="J390" s="18" t="str">
        <f>"04333-0164"</f>
        <v>04333-0164</v>
      </c>
      <c r="K390" s="6"/>
      <c r="L390" s="6" t="s">
        <v>22</v>
      </c>
      <c r="M390" s="6" t="s">
        <v>102</v>
      </c>
      <c r="N390" s="7" t="s">
        <v>103</v>
      </c>
    </row>
    <row r="391" spans="1:14" x14ac:dyDescent="0.3">
      <c r="A391" s="18" t="s">
        <v>767</v>
      </c>
      <c r="B391" s="18" t="s">
        <v>1731</v>
      </c>
      <c r="C391" s="6"/>
      <c r="D391" s="6" t="s">
        <v>1732</v>
      </c>
      <c r="E391" s="6" t="s">
        <v>248</v>
      </c>
      <c r="F391" s="6" t="s">
        <v>1733</v>
      </c>
      <c r="G391" s="6"/>
      <c r="H391" s="6" t="s">
        <v>1734</v>
      </c>
      <c r="I391" s="6" t="s">
        <v>172</v>
      </c>
      <c r="J391" s="18" t="str">
        <f>"41240"</f>
        <v>41240</v>
      </c>
      <c r="K391" s="6"/>
      <c r="L391" s="6" t="s">
        <v>22</v>
      </c>
      <c r="M391" s="6" t="s">
        <v>1735</v>
      </c>
      <c r="N391" s="7" t="s">
        <v>1736</v>
      </c>
    </row>
    <row r="392" spans="1:14" x14ac:dyDescent="0.3">
      <c r="A392" s="18" t="s">
        <v>1160</v>
      </c>
      <c r="B392" s="18" t="s">
        <v>2562</v>
      </c>
      <c r="C392" s="6"/>
      <c r="D392" s="6" t="s">
        <v>2563</v>
      </c>
      <c r="E392" s="6" t="s">
        <v>2564</v>
      </c>
      <c r="F392" s="6" t="s">
        <v>2565</v>
      </c>
      <c r="G392" s="6"/>
      <c r="H392" s="6" t="s">
        <v>845</v>
      </c>
      <c r="I392" s="6" t="s">
        <v>76</v>
      </c>
      <c r="J392" s="18" t="str">
        <f>"78701-2483"</f>
        <v>78701-2483</v>
      </c>
      <c r="K392" s="6"/>
      <c r="L392" s="6" t="s">
        <v>22</v>
      </c>
      <c r="M392" s="6" t="s">
        <v>2566</v>
      </c>
      <c r="N392" s="7" t="s">
        <v>2567</v>
      </c>
    </row>
    <row r="393" spans="1:14" x14ac:dyDescent="0.3">
      <c r="A393" s="18" t="s">
        <v>1176</v>
      </c>
      <c r="B393" s="18" t="s">
        <v>1350</v>
      </c>
      <c r="C393" s="6"/>
      <c r="D393" s="6" t="s">
        <v>1351</v>
      </c>
      <c r="E393" s="6" t="s">
        <v>1352</v>
      </c>
      <c r="F393" s="6" t="s">
        <v>1353</v>
      </c>
      <c r="G393" s="6" t="s">
        <v>1354</v>
      </c>
      <c r="H393" s="6" t="s">
        <v>1355</v>
      </c>
      <c r="I393" s="6" t="s">
        <v>1356</v>
      </c>
      <c r="J393" s="18" t="str">
        <f>"70803"</f>
        <v>70803</v>
      </c>
      <c r="K393" s="6"/>
      <c r="L393" s="6" t="s">
        <v>22</v>
      </c>
      <c r="M393" s="6" t="s">
        <v>1357</v>
      </c>
      <c r="N393" s="7" t="s">
        <v>1358</v>
      </c>
    </row>
    <row r="394" spans="1:14" x14ac:dyDescent="0.3">
      <c r="A394" s="18" t="s">
        <v>474</v>
      </c>
      <c r="B394" s="18" t="s">
        <v>2331</v>
      </c>
      <c r="C394" s="6"/>
      <c r="D394" s="6" t="s">
        <v>2317</v>
      </c>
      <c r="E394" s="6" t="s">
        <v>2327</v>
      </c>
      <c r="F394" s="6" t="s">
        <v>2318</v>
      </c>
      <c r="G394" s="6"/>
      <c r="H394" s="6" t="s">
        <v>364</v>
      </c>
      <c r="I394" s="6" t="s">
        <v>172</v>
      </c>
      <c r="J394" s="18" t="str">
        <f>"40601"</f>
        <v>40601</v>
      </c>
      <c r="K394" s="6"/>
      <c r="L394" s="6" t="s">
        <v>22</v>
      </c>
      <c r="M394" s="6" t="s">
        <v>2323</v>
      </c>
      <c r="N394" s="7" t="s">
        <v>2332</v>
      </c>
    </row>
    <row r="395" spans="1:14" x14ac:dyDescent="0.3">
      <c r="A395" s="18" t="s">
        <v>1930</v>
      </c>
      <c r="B395" s="18" t="s">
        <v>1931</v>
      </c>
      <c r="C395" s="6"/>
      <c r="D395" s="6" t="s">
        <v>1932</v>
      </c>
      <c r="E395" s="6" t="s">
        <v>1933</v>
      </c>
      <c r="F395" s="6" t="s">
        <v>1934</v>
      </c>
      <c r="G395" s="6"/>
      <c r="H395" s="6" t="s">
        <v>1884</v>
      </c>
      <c r="I395" s="6" t="s">
        <v>172</v>
      </c>
      <c r="J395" s="18" t="str">
        <f>"40004"</f>
        <v>40004</v>
      </c>
      <c r="K395" s="6"/>
      <c r="L395" s="6" t="s">
        <v>22</v>
      </c>
      <c r="M395" s="6" t="s">
        <v>1935</v>
      </c>
      <c r="N395" s="7" t="s">
        <v>1936</v>
      </c>
    </row>
    <row r="396" spans="1:14" x14ac:dyDescent="0.3">
      <c r="A396" s="18" t="s">
        <v>1409</v>
      </c>
      <c r="B396" s="18" t="s">
        <v>3282</v>
      </c>
      <c r="C396" s="6"/>
      <c r="D396" s="6" t="s">
        <v>3283</v>
      </c>
      <c r="E396" s="6" t="s">
        <v>1889</v>
      </c>
      <c r="F396" s="6" t="s">
        <v>3284</v>
      </c>
      <c r="G396" s="6"/>
      <c r="H396" s="6" t="s">
        <v>3285</v>
      </c>
      <c r="I396" s="6" t="s">
        <v>172</v>
      </c>
      <c r="J396" s="18">
        <v>41051</v>
      </c>
      <c r="K396" s="6"/>
      <c r="L396" s="6" t="s">
        <v>22</v>
      </c>
      <c r="M396" s="22" t="s">
        <v>3286</v>
      </c>
      <c r="N396" s="8" t="s">
        <v>3287</v>
      </c>
    </row>
    <row r="397" spans="1:14" x14ac:dyDescent="0.3">
      <c r="A397" s="18" t="s">
        <v>613</v>
      </c>
      <c r="B397" s="18" t="s">
        <v>614</v>
      </c>
      <c r="C397" s="6"/>
      <c r="D397" s="6" t="s">
        <v>615</v>
      </c>
      <c r="E397" s="6" t="s">
        <v>616</v>
      </c>
      <c r="F397" s="6" t="s">
        <v>617</v>
      </c>
      <c r="G397" s="6"/>
      <c r="H397" s="6" t="s">
        <v>618</v>
      </c>
      <c r="I397" s="6" t="s">
        <v>49</v>
      </c>
      <c r="J397" s="18" t="str">
        <f>"08625-0048"</f>
        <v>08625-0048</v>
      </c>
      <c r="K397" s="6"/>
      <c r="L397" s="6" t="s">
        <v>22</v>
      </c>
      <c r="M397" s="6" t="s">
        <v>619</v>
      </c>
      <c r="N397" s="7" t="s">
        <v>620</v>
      </c>
    </row>
    <row r="398" spans="1:14" x14ac:dyDescent="0.3">
      <c r="A398" s="18" t="s">
        <v>1680</v>
      </c>
      <c r="B398" s="18" t="s">
        <v>1681</v>
      </c>
      <c r="C398" s="6"/>
      <c r="D398" s="6" t="s">
        <v>1682</v>
      </c>
      <c r="E398" s="6" t="s">
        <v>46</v>
      </c>
      <c r="F398" s="6" t="s">
        <v>1683</v>
      </c>
      <c r="G398" s="6"/>
      <c r="H398" s="6" t="s">
        <v>1684</v>
      </c>
      <c r="I398" s="6" t="s">
        <v>875</v>
      </c>
      <c r="J398" s="18" t="str">
        <f>"37138"</f>
        <v>37138</v>
      </c>
      <c r="K398" s="6"/>
      <c r="L398" s="6" t="s">
        <v>22</v>
      </c>
      <c r="M398" s="6" t="s">
        <v>1685</v>
      </c>
      <c r="N398" s="7" t="s">
        <v>1686</v>
      </c>
    </row>
    <row r="399" spans="1:14" x14ac:dyDescent="0.3">
      <c r="A399" s="18" t="s">
        <v>554</v>
      </c>
      <c r="B399" s="18" t="s">
        <v>555</v>
      </c>
      <c r="C399" s="6"/>
      <c r="D399" s="6" t="s">
        <v>556</v>
      </c>
      <c r="E399" s="6" t="s">
        <v>557</v>
      </c>
      <c r="F399" s="6" t="s">
        <v>558</v>
      </c>
      <c r="G399" s="6"/>
      <c r="H399" s="6" t="s">
        <v>559</v>
      </c>
      <c r="I399" s="6" t="s">
        <v>560</v>
      </c>
      <c r="J399" s="18" t="str">
        <f>"39157"</f>
        <v>39157</v>
      </c>
      <c r="K399" s="6"/>
      <c r="L399" s="6" t="s">
        <v>22</v>
      </c>
      <c r="M399" s="6" t="s">
        <v>561</v>
      </c>
      <c r="N399" s="7" t="s">
        <v>562</v>
      </c>
    </row>
    <row r="400" spans="1:14" x14ac:dyDescent="0.3">
      <c r="A400" s="18" t="s">
        <v>1978</v>
      </c>
      <c r="B400" s="18" t="s">
        <v>1979</v>
      </c>
      <c r="C400" s="6"/>
      <c r="D400" s="6" t="s">
        <v>1438</v>
      </c>
      <c r="E400" s="6" t="s">
        <v>1980</v>
      </c>
      <c r="F400" s="6" t="s">
        <v>1440</v>
      </c>
      <c r="G400" s="6" t="s">
        <v>1441</v>
      </c>
      <c r="H400" s="6" t="s">
        <v>1442</v>
      </c>
      <c r="I400" s="6" t="s">
        <v>1324</v>
      </c>
      <c r="J400" s="18" t="str">
        <f>"30334"</f>
        <v>30334</v>
      </c>
      <c r="K400" s="6"/>
      <c r="L400" s="6" t="s">
        <v>22</v>
      </c>
      <c r="M400" s="6" t="s">
        <v>1981</v>
      </c>
      <c r="N400" s="7" t="s">
        <v>1982</v>
      </c>
    </row>
    <row r="401" spans="1:14" x14ac:dyDescent="0.3">
      <c r="A401" s="18" t="s">
        <v>520</v>
      </c>
      <c r="B401" s="18" t="s">
        <v>521</v>
      </c>
      <c r="C401" s="6"/>
      <c r="D401" s="6" t="s">
        <v>522</v>
      </c>
      <c r="E401" s="6" t="s">
        <v>523</v>
      </c>
      <c r="F401" s="6" t="s">
        <v>524</v>
      </c>
      <c r="G401" s="6" t="s">
        <v>170</v>
      </c>
      <c r="H401" s="6" t="s">
        <v>525</v>
      </c>
      <c r="I401" s="6" t="s">
        <v>172</v>
      </c>
      <c r="J401" s="18" t="str">
        <f>"42501"</f>
        <v>42501</v>
      </c>
      <c r="K401" s="6"/>
      <c r="L401" s="6" t="s">
        <v>22</v>
      </c>
      <c r="M401" s="6" t="s">
        <v>526</v>
      </c>
      <c r="N401" s="7" t="s">
        <v>527</v>
      </c>
    </row>
    <row r="402" spans="1:14" x14ac:dyDescent="0.3">
      <c r="A402" s="18" t="s">
        <v>113</v>
      </c>
      <c r="B402" s="18" t="s">
        <v>114</v>
      </c>
      <c r="C402" s="6"/>
      <c r="D402" s="6" t="s">
        <v>115</v>
      </c>
      <c r="E402" s="6" t="s">
        <v>64</v>
      </c>
      <c r="F402" s="6" t="s">
        <v>116</v>
      </c>
      <c r="G402" s="6"/>
      <c r="H402" s="6" t="s">
        <v>117</v>
      </c>
      <c r="I402" s="6" t="s">
        <v>118</v>
      </c>
      <c r="J402" s="18" t="str">
        <f>"48909"</f>
        <v>48909</v>
      </c>
      <c r="K402" s="6"/>
      <c r="L402" s="6" t="s">
        <v>22</v>
      </c>
      <c r="M402" s="6" t="s">
        <v>119</v>
      </c>
      <c r="N402" s="7" t="s">
        <v>120</v>
      </c>
    </row>
    <row r="403" spans="1:14" x14ac:dyDescent="0.3">
      <c r="A403" s="18" t="s">
        <v>2782</v>
      </c>
      <c r="B403" s="18" t="s">
        <v>2783</v>
      </c>
      <c r="C403" s="6"/>
      <c r="D403" s="6" t="s">
        <v>2784</v>
      </c>
      <c r="E403" s="6" t="s">
        <v>64</v>
      </c>
      <c r="F403" s="6" t="s">
        <v>2785</v>
      </c>
      <c r="G403" s="6"/>
      <c r="H403" s="6" t="s">
        <v>2786</v>
      </c>
      <c r="I403" s="6" t="s">
        <v>30</v>
      </c>
      <c r="J403" s="18" t="str">
        <f>"22102"</f>
        <v>22102</v>
      </c>
      <c r="K403" s="6"/>
      <c r="L403" s="6" t="s">
        <v>22</v>
      </c>
      <c r="M403" s="6" t="s">
        <v>2787</v>
      </c>
      <c r="N403" s="7" t="s">
        <v>2788</v>
      </c>
    </row>
    <row r="404" spans="1:14" x14ac:dyDescent="0.3">
      <c r="A404" s="18" t="s">
        <v>398</v>
      </c>
      <c r="B404" s="18" t="s">
        <v>2499</v>
      </c>
      <c r="C404" s="6"/>
      <c r="D404" s="6" t="s">
        <v>2500</v>
      </c>
      <c r="E404" s="6" t="s">
        <v>1030</v>
      </c>
      <c r="F404" s="6" t="s">
        <v>2501</v>
      </c>
      <c r="G404" s="6"/>
      <c r="H404" s="6" t="s">
        <v>364</v>
      </c>
      <c r="I404" s="6" t="s">
        <v>172</v>
      </c>
      <c r="J404" s="18" t="str">
        <f>"40601"</f>
        <v>40601</v>
      </c>
      <c r="K404" s="6"/>
      <c r="L404" s="6" t="s">
        <v>22</v>
      </c>
      <c r="M404" s="6" t="s">
        <v>2502</v>
      </c>
      <c r="N404" s="7" t="s">
        <v>2503</v>
      </c>
    </row>
    <row r="405" spans="1:14" x14ac:dyDescent="0.3">
      <c r="A405" s="18" t="s">
        <v>2297</v>
      </c>
      <c r="B405" s="18" t="s">
        <v>2298</v>
      </c>
      <c r="C405" s="6"/>
      <c r="D405" s="6" t="s">
        <v>2299</v>
      </c>
      <c r="E405" s="6" t="s">
        <v>2300</v>
      </c>
      <c r="F405" s="6" t="s">
        <v>2301</v>
      </c>
      <c r="G405" s="6"/>
      <c r="H405" s="6" t="s">
        <v>2302</v>
      </c>
      <c r="I405" s="6" t="s">
        <v>703</v>
      </c>
      <c r="J405" s="18" t="str">
        <f>"06611"</f>
        <v>06611</v>
      </c>
      <c r="K405" s="6"/>
      <c r="L405" s="6" t="s">
        <v>22</v>
      </c>
      <c r="M405" s="6" t="s">
        <v>2303</v>
      </c>
      <c r="N405" s="7" t="s">
        <v>2304</v>
      </c>
    </row>
    <row r="406" spans="1:14" x14ac:dyDescent="0.3">
      <c r="A406" s="18" t="s">
        <v>1228</v>
      </c>
      <c r="B406" s="18" t="s">
        <v>2032</v>
      </c>
      <c r="C406" s="6"/>
      <c r="D406" s="6" t="s">
        <v>2033</v>
      </c>
      <c r="E406" s="6" t="s">
        <v>2034</v>
      </c>
      <c r="F406" s="6" t="s">
        <v>2035</v>
      </c>
      <c r="G406" s="6" t="s">
        <v>2036</v>
      </c>
      <c r="H406" s="6" t="s">
        <v>544</v>
      </c>
      <c r="I406" s="6" t="s">
        <v>30</v>
      </c>
      <c r="J406" s="18" t="str">
        <f>"22201"</f>
        <v>22201</v>
      </c>
      <c r="K406" s="6"/>
      <c r="L406" s="6" t="s">
        <v>22</v>
      </c>
      <c r="M406" s="6" t="s">
        <v>2037</v>
      </c>
      <c r="N406" s="7" t="s">
        <v>2038</v>
      </c>
    </row>
    <row r="407" spans="1:14" x14ac:dyDescent="0.3">
      <c r="A407" s="18" t="s">
        <v>1409</v>
      </c>
      <c r="B407" s="18" t="s">
        <v>2329</v>
      </c>
      <c r="C407" s="6"/>
      <c r="D407" s="6" t="s">
        <v>2317</v>
      </c>
      <c r="E407" s="6" t="s">
        <v>2327</v>
      </c>
      <c r="F407" s="6" t="s">
        <v>2318</v>
      </c>
      <c r="G407" s="6"/>
      <c r="H407" s="6" t="s">
        <v>364</v>
      </c>
      <c r="I407" s="6" t="s">
        <v>172</v>
      </c>
      <c r="J407" s="18" t="str">
        <f>"40601"</f>
        <v>40601</v>
      </c>
      <c r="K407" s="6"/>
      <c r="L407" s="6" t="s">
        <v>22</v>
      </c>
      <c r="M407" s="6" t="s">
        <v>2323</v>
      </c>
      <c r="N407" s="7" t="s">
        <v>2330</v>
      </c>
    </row>
    <row r="408" spans="1:14" x14ac:dyDescent="0.3">
      <c r="A408" s="18" t="s">
        <v>2055</v>
      </c>
      <c r="B408" s="18" t="s">
        <v>2056</v>
      </c>
      <c r="C408" s="6"/>
      <c r="D408" s="6" t="s">
        <v>2051</v>
      </c>
      <c r="E408" s="6" t="s">
        <v>2057</v>
      </c>
      <c r="F408" s="6" t="s">
        <v>2052</v>
      </c>
      <c r="G408" s="6" t="s">
        <v>2053</v>
      </c>
      <c r="H408" s="6" t="s">
        <v>2054</v>
      </c>
      <c r="I408" s="6" t="s">
        <v>21</v>
      </c>
      <c r="J408" s="18" t="str">
        <f>"20705-3102"</f>
        <v>20705-3102</v>
      </c>
      <c r="K408" s="6"/>
      <c r="L408" s="6" t="s">
        <v>22</v>
      </c>
      <c r="M408" s="6" t="s">
        <v>2058</v>
      </c>
      <c r="N408" s="7" t="s">
        <v>2059</v>
      </c>
    </row>
    <row r="409" spans="1:14" x14ac:dyDescent="0.3">
      <c r="A409" s="18" t="s">
        <v>663</v>
      </c>
      <c r="B409" s="18" t="s">
        <v>664</v>
      </c>
      <c r="C409" s="6"/>
      <c r="D409" s="6" t="s">
        <v>115</v>
      </c>
      <c r="E409" s="6" t="s">
        <v>665</v>
      </c>
      <c r="F409" s="6" t="s">
        <v>116</v>
      </c>
      <c r="G409" s="6"/>
      <c r="H409" s="6" t="s">
        <v>117</v>
      </c>
      <c r="I409" s="6" t="s">
        <v>118</v>
      </c>
      <c r="J409" s="18" t="str">
        <f>"48909"</f>
        <v>48909</v>
      </c>
      <c r="K409" s="6"/>
      <c r="L409" s="6" t="s">
        <v>22</v>
      </c>
      <c r="M409" s="6" t="s">
        <v>666</v>
      </c>
      <c r="N409" s="7" t="s">
        <v>667</v>
      </c>
    </row>
    <row r="410" spans="1:14" x14ac:dyDescent="0.3">
      <c r="A410" s="18" t="s">
        <v>413</v>
      </c>
      <c r="B410" s="18" t="s">
        <v>283</v>
      </c>
      <c r="C410" s="6"/>
      <c r="D410" s="6" t="s">
        <v>2085</v>
      </c>
      <c r="E410" s="6" t="s">
        <v>2086</v>
      </c>
      <c r="F410" s="6" t="s">
        <v>2087</v>
      </c>
      <c r="G410" s="6" t="s">
        <v>2088</v>
      </c>
      <c r="H410" s="6" t="s">
        <v>117</v>
      </c>
      <c r="I410" s="6" t="s">
        <v>118</v>
      </c>
      <c r="J410" s="18" t="str">
        <f>"48909-9832"</f>
        <v>48909-9832</v>
      </c>
      <c r="K410" s="6"/>
      <c r="L410" s="6" t="s">
        <v>22</v>
      </c>
      <c r="M410" s="6" t="s">
        <v>2089</v>
      </c>
      <c r="N410" s="7" t="s">
        <v>2090</v>
      </c>
    </row>
    <row r="411" spans="1:14" x14ac:dyDescent="0.3">
      <c r="A411" s="18" t="s">
        <v>104</v>
      </c>
      <c r="B411" s="18" t="s">
        <v>283</v>
      </c>
      <c r="C411" s="6"/>
      <c r="D411" s="6" t="s">
        <v>91</v>
      </c>
      <c r="E411" s="6" t="s">
        <v>284</v>
      </c>
      <c r="F411" s="6" t="s">
        <v>93</v>
      </c>
      <c r="G411" s="6" t="s">
        <v>101</v>
      </c>
      <c r="H411" s="6" t="s">
        <v>94</v>
      </c>
      <c r="I411" s="6" t="s">
        <v>95</v>
      </c>
      <c r="J411" s="18" t="str">
        <f>"04333-0164"</f>
        <v>04333-0164</v>
      </c>
      <c r="K411" s="6"/>
      <c r="L411" s="6" t="s">
        <v>22</v>
      </c>
      <c r="M411" s="6" t="s">
        <v>285</v>
      </c>
      <c r="N411" s="7" t="s">
        <v>286</v>
      </c>
    </row>
    <row r="412" spans="1:14" x14ac:dyDescent="0.3">
      <c r="A412" s="18" t="s">
        <v>121</v>
      </c>
      <c r="B412" s="18" t="s">
        <v>2554</v>
      </c>
      <c r="C412" s="6"/>
      <c r="D412" s="6" t="s">
        <v>2555</v>
      </c>
      <c r="E412" s="6" t="s">
        <v>2556</v>
      </c>
      <c r="F412" s="6" t="s">
        <v>2557</v>
      </c>
      <c r="G412" s="6" t="s">
        <v>2558</v>
      </c>
      <c r="H412" s="6" t="s">
        <v>2559</v>
      </c>
      <c r="I412" s="6" t="s">
        <v>86</v>
      </c>
      <c r="J412" s="18" t="str">
        <f>"10017"</f>
        <v>10017</v>
      </c>
      <c r="K412" s="6"/>
      <c r="L412" s="6" t="s">
        <v>22</v>
      </c>
      <c r="M412" s="6" t="s">
        <v>2560</v>
      </c>
      <c r="N412" s="7" t="s">
        <v>2561</v>
      </c>
    </row>
    <row r="413" spans="1:14" x14ac:dyDescent="0.3">
      <c r="A413" s="18" t="s">
        <v>53</v>
      </c>
      <c r="B413" s="18" t="s">
        <v>3564</v>
      </c>
      <c r="C413" s="6"/>
      <c r="D413" s="6" t="s">
        <v>3565</v>
      </c>
      <c r="E413" s="6" t="s">
        <v>3566</v>
      </c>
      <c r="F413" s="6" t="s">
        <v>3567</v>
      </c>
      <c r="G413" s="6"/>
      <c r="H413" s="6" t="s">
        <v>3568</v>
      </c>
      <c r="I413" s="6" t="s">
        <v>30</v>
      </c>
      <c r="J413" s="18">
        <v>23511</v>
      </c>
      <c r="K413" s="6"/>
      <c r="L413" s="6" t="s">
        <v>22</v>
      </c>
      <c r="M413" s="6" t="s">
        <v>3569</v>
      </c>
      <c r="N413" s="8" t="s">
        <v>3570</v>
      </c>
    </row>
    <row r="414" spans="1:14" x14ac:dyDescent="0.3">
      <c r="A414" s="18" t="s">
        <v>1634</v>
      </c>
      <c r="B414" s="18" t="s">
        <v>458</v>
      </c>
      <c r="C414" s="6" t="s">
        <v>2934</v>
      </c>
      <c r="D414" s="6" t="s">
        <v>1635</v>
      </c>
      <c r="E414" s="6" t="s">
        <v>1636</v>
      </c>
      <c r="F414" s="6" t="s">
        <v>1637</v>
      </c>
      <c r="G414" s="6"/>
      <c r="H414" s="6" t="s">
        <v>1638</v>
      </c>
      <c r="I414" s="6" t="s">
        <v>486</v>
      </c>
      <c r="J414" s="18" t="str">
        <f>"85007"</f>
        <v>85007</v>
      </c>
      <c r="K414" s="6"/>
      <c r="L414" s="6" t="s">
        <v>22</v>
      </c>
      <c r="M414" s="6" t="s">
        <v>1639</v>
      </c>
      <c r="N414" s="7" t="s">
        <v>1640</v>
      </c>
    </row>
    <row r="415" spans="1:14" x14ac:dyDescent="0.3">
      <c r="A415" s="18" t="s">
        <v>457</v>
      </c>
      <c r="B415" s="18" t="s">
        <v>458</v>
      </c>
      <c r="C415" s="6"/>
      <c r="D415" s="6" t="s">
        <v>459</v>
      </c>
      <c r="E415" s="6" t="s">
        <v>64</v>
      </c>
      <c r="F415" s="6" t="s">
        <v>460</v>
      </c>
      <c r="G415" s="6"/>
      <c r="H415" s="6" t="s">
        <v>461</v>
      </c>
      <c r="I415" s="6" t="s">
        <v>462</v>
      </c>
      <c r="J415" s="18" t="str">
        <f>"29016-1993"</f>
        <v>29016-1993</v>
      </c>
      <c r="K415" s="6"/>
      <c r="L415" s="6" t="s">
        <v>22</v>
      </c>
      <c r="M415" s="6" t="s">
        <v>463</v>
      </c>
      <c r="N415" s="7" t="s">
        <v>464</v>
      </c>
    </row>
    <row r="416" spans="1:14" x14ac:dyDescent="0.3">
      <c r="A416" s="18" t="s">
        <v>1805</v>
      </c>
      <c r="B416" s="18" t="s">
        <v>1806</v>
      </c>
      <c r="C416" s="6"/>
      <c r="D416" s="6" t="s">
        <v>433</v>
      </c>
      <c r="E416" s="6" t="s">
        <v>1807</v>
      </c>
      <c r="F416" s="6" t="s">
        <v>1756</v>
      </c>
      <c r="G416" s="6" t="s">
        <v>1757</v>
      </c>
      <c r="H416" s="6" t="s">
        <v>153</v>
      </c>
      <c r="I416" s="6" t="s">
        <v>154</v>
      </c>
      <c r="J416" s="18" t="str">
        <f>"46204"</f>
        <v>46204</v>
      </c>
      <c r="K416" s="6"/>
      <c r="L416" s="6" t="s">
        <v>22</v>
      </c>
      <c r="M416" s="6" t="s">
        <v>1758</v>
      </c>
      <c r="N416" s="7" t="s">
        <v>1808</v>
      </c>
    </row>
    <row r="417" spans="1:14" x14ac:dyDescent="0.3">
      <c r="A417" s="18" t="s">
        <v>639</v>
      </c>
      <c r="B417" s="18" t="s">
        <v>1105</v>
      </c>
      <c r="C417" s="6"/>
      <c r="D417" s="6" t="s">
        <v>1561</v>
      </c>
      <c r="E417" s="6" t="s">
        <v>708</v>
      </c>
      <c r="F417" s="6" t="s">
        <v>1562</v>
      </c>
      <c r="G417" s="6" t="s">
        <v>292</v>
      </c>
      <c r="H417" s="6" t="s">
        <v>1563</v>
      </c>
      <c r="I417" s="6" t="s">
        <v>137</v>
      </c>
      <c r="J417" s="18" t="str">
        <f>"K2P 0B4"</f>
        <v>K2P 0B4</v>
      </c>
      <c r="K417" s="6" t="s">
        <v>1564</v>
      </c>
      <c r="L417" s="6" t="s">
        <v>1565</v>
      </c>
      <c r="M417" s="6" t="s">
        <v>1566</v>
      </c>
      <c r="N417" s="7" t="s">
        <v>1567</v>
      </c>
    </row>
    <row r="418" spans="1:14" x14ac:dyDescent="0.3">
      <c r="A418" s="18" t="s">
        <v>774</v>
      </c>
      <c r="B418" s="18" t="s">
        <v>775</v>
      </c>
      <c r="C418" s="6"/>
      <c r="D418" s="6" t="s">
        <v>776</v>
      </c>
      <c r="E418" s="6" t="s">
        <v>777</v>
      </c>
      <c r="F418" s="6" t="s">
        <v>778</v>
      </c>
      <c r="G418" s="6"/>
      <c r="H418" s="6" t="s">
        <v>779</v>
      </c>
      <c r="I418" s="6" t="s">
        <v>780</v>
      </c>
      <c r="J418" s="18" t="str">
        <f>"87104"</f>
        <v>87104</v>
      </c>
      <c r="K418" s="6"/>
      <c r="L418" s="6" t="s">
        <v>22</v>
      </c>
      <c r="M418" s="6" t="s">
        <v>781</v>
      </c>
      <c r="N418" s="8" t="s">
        <v>3313</v>
      </c>
    </row>
    <row r="419" spans="1:14" x14ac:dyDescent="0.3">
      <c r="A419" s="18" t="s">
        <v>728</v>
      </c>
      <c r="B419" s="18" t="s">
        <v>729</v>
      </c>
      <c r="C419" s="6"/>
      <c r="D419" s="6" t="s">
        <v>730</v>
      </c>
      <c r="E419" s="6" t="s">
        <v>731</v>
      </c>
      <c r="F419" s="6" t="s">
        <v>732</v>
      </c>
      <c r="G419" s="6"/>
      <c r="H419" s="6" t="s">
        <v>733</v>
      </c>
      <c r="I419" s="6" t="s">
        <v>734</v>
      </c>
      <c r="J419" s="18" t="str">
        <f>"74604-5179"</f>
        <v>74604-5179</v>
      </c>
      <c r="K419" s="6"/>
      <c r="L419" s="6" t="s">
        <v>22</v>
      </c>
      <c r="M419" s="6" t="s">
        <v>735</v>
      </c>
      <c r="N419" s="7" t="s">
        <v>736</v>
      </c>
    </row>
    <row r="420" spans="1:14" x14ac:dyDescent="0.3">
      <c r="A420" s="18" t="s">
        <v>2233</v>
      </c>
      <c r="B420" s="18" t="s">
        <v>729</v>
      </c>
      <c r="C420" s="6"/>
      <c r="D420" s="6" t="s">
        <v>2234</v>
      </c>
      <c r="E420" s="6"/>
      <c r="F420" s="6" t="s">
        <v>2235</v>
      </c>
      <c r="G420" s="6"/>
      <c r="H420" s="6" t="s">
        <v>2236</v>
      </c>
      <c r="I420" s="6" t="s">
        <v>172</v>
      </c>
      <c r="J420" s="18" t="str">
        <f>"41017"</f>
        <v>41017</v>
      </c>
      <c r="K420" s="6" t="s">
        <v>2934</v>
      </c>
      <c r="L420" s="6" t="s">
        <v>22</v>
      </c>
      <c r="M420" s="6" t="s">
        <v>2237</v>
      </c>
      <c r="N420" s="7" t="s">
        <v>2238</v>
      </c>
    </row>
    <row r="421" spans="1:14" x14ac:dyDescent="0.3">
      <c r="A421" s="18" t="s">
        <v>1364</v>
      </c>
      <c r="B421" s="18" t="s">
        <v>1712</v>
      </c>
      <c r="C421" s="6"/>
      <c r="D421" s="6" t="s">
        <v>1688</v>
      </c>
      <c r="E421" s="6"/>
      <c r="F421" s="6" t="s">
        <v>1690</v>
      </c>
      <c r="G421" s="6"/>
      <c r="H421" s="6" t="s">
        <v>1167</v>
      </c>
      <c r="I421" s="6" t="s">
        <v>172</v>
      </c>
      <c r="J421" s="18" t="str">
        <f>"42303"</f>
        <v>42303</v>
      </c>
      <c r="K421" s="6"/>
      <c r="L421" s="6" t="s">
        <v>22</v>
      </c>
      <c r="M421" s="6" t="s">
        <v>1691</v>
      </c>
      <c r="N421" s="7" t="s">
        <v>1713</v>
      </c>
    </row>
    <row r="422" spans="1:14" x14ac:dyDescent="0.3">
      <c r="A422" s="18" t="s">
        <v>1365</v>
      </c>
      <c r="B422" s="18" t="s">
        <v>1366</v>
      </c>
      <c r="C422" s="6"/>
      <c r="D422" s="6" t="s">
        <v>1367</v>
      </c>
      <c r="E422" s="6" t="s">
        <v>1368</v>
      </c>
      <c r="F422" s="6" t="s">
        <v>1369</v>
      </c>
      <c r="G422" s="6"/>
      <c r="H422" s="6" t="s">
        <v>1370</v>
      </c>
      <c r="I422" s="6" t="s">
        <v>172</v>
      </c>
      <c r="J422" s="18" t="str">
        <f>"42642"</f>
        <v>42642</v>
      </c>
      <c r="K422" s="6"/>
      <c r="L422" s="6" t="s">
        <v>22</v>
      </c>
      <c r="M422" s="6" t="s">
        <v>1371</v>
      </c>
      <c r="N422" s="7" t="s">
        <v>1372</v>
      </c>
    </row>
    <row r="423" spans="1:14" x14ac:dyDescent="0.3">
      <c r="A423" s="18" t="s">
        <v>2416</v>
      </c>
      <c r="B423" s="18" t="s">
        <v>2417</v>
      </c>
      <c r="C423" s="6"/>
      <c r="D423" s="6" t="s">
        <v>2418</v>
      </c>
      <c r="E423" s="6" t="s">
        <v>1030</v>
      </c>
      <c r="F423" s="6" t="s">
        <v>2419</v>
      </c>
      <c r="G423" s="6"/>
      <c r="H423" s="6" t="s">
        <v>2420</v>
      </c>
      <c r="I423" s="6" t="s">
        <v>780</v>
      </c>
      <c r="J423" s="18" t="str">
        <f>"87801"</f>
        <v>87801</v>
      </c>
      <c r="K423" s="6"/>
      <c r="L423" s="6" t="s">
        <v>22</v>
      </c>
      <c r="M423" s="6" t="s">
        <v>2421</v>
      </c>
      <c r="N423" s="7" t="s">
        <v>2422</v>
      </c>
    </row>
    <row r="424" spans="1:14" x14ac:dyDescent="0.3">
      <c r="A424" s="18" t="s">
        <v>1190</v>
      </c>
      <c r="B424" s="18" t="s">
        <v>1191</v>
      </c>
      <c r="C424" s="6"/>
      <c r="D424" s="6" t="s">
        <v>1184</v>
      </c>
      <c r="E424" s="6"/>
      <c r="F424" s="6" t="s">
        <v>1185</v>
      </c>
      <c r="G424" s="6"/>
      <c r="H424" s="6" t="s">
        <v>1186</v>
      </c>
      <c r="I424" s="6" t="s">
        <v>172</v>
      </c>
      <c r="J424" s="18" t="str">
        <f>"40475"</f>
        <v>40475</v>
      </c>
      <c r="K424" s="6"/>
      <c r="L424" s="6" t="s">
        <v>22</v>
      </c>
      <c r="M424" s="6" t="s">
        <v>1187</v>
      </c>
      <c r="N424" s="7" t="s">
        <v>1192</v>
      </c>
    </row>
    <row r="425" spans="1:14" x14ac:dyDescent="0.3">
      <c r="A425" s="18" t="s">
        <v>2423</v>
      </c>
      <c r="B425" s="18" t="s">
        <v>2424</v>
      </c>
      <c r="C425" s="6"/>
      <c r="D425" s="6" t="s">
        <v>2425</v>
      </c>
      <c r="E425" s="6" t="s">
        <v>2426</v>
      </c>
      <c r="F425" s="6" t="s">
        <v>2427</v>
      </c>
      <c r="G425" s="6"/>
      <c r="H425" s="6" t="s">
        <v>2428</v>
      </c>
      <c r="I425" s="6" t="s">
        <v>301</v>
      </c>
      <c r="J425" s="18" t="str">
        <f>"19801"</f>
        <v>19801</v>
      </c>
      <c r="K425" s="6"/>
      <c r="L425" s="6" t="s">
        <v>22</v>
      </c>
      <c r="M425" s="6" t="s">
        <v>2429</v>
      </c>
      <c r="N425" s="7" t="s">
        <v>2430</v>
      </c>
    </row>
    <row r="426" spans="1:14" x14ac:dyDescent="0.3">
      <c r="A426" s="18" t="s">
        <v>539</v>
      </c>
      <c r="B426" s="18" t="s">
        <v>2700</v>
      </c>
      <c r="C426" s="6"/>
      <c r="D426" s="6" t="s">
        <v>2701</v>
      </c>
      <c r="E426" s="6" t="s">
        <v>2702</v>
      </c>
      <c r="F426" s="6" t="s">
        <v>2703</v>
      </c>
      <c r="G426" s="6"/>
      <c r="H426" s="6" t="s">
        <v>2704</v>
      </c>
      <c r="I426" s="6" t="s">
        <v>172</v>
      </c>
      <c r="J426" s="18" t="str">
        <f>"42431"</f>
        <v>42431</v>
      </c>
      <c r="K426" s="6"/>
      <c r="L426" s="6" t="s">
        <v>22</v>
      </c>
      <c r="M426" s="6" t="s">
        <v>2705</v>
      </c>
      <c r="N426" s="7" t="s">
        <v>2706</v>
      </c>
    </row>
    <row r="427" spans="1:14" x14ac:dyDescent="0.3">
      <c r="A427" s="18" t="s">
        <v>218</v>
      </c>
      <c r="B427" s="18" t="s">
        <v>259</v>
      </c>
      <c r="C427" s="6"/>
      <c r="D427" s="6" t="s">
        <v>260</v>
      </c>
      <c r="E427" s="6" t="s">
        <v>261</v>
      </c>
      <c r="F427" s="6" t="s">
        <v>262</v>
      </c>
      <c r="G427" s="6"/>
      <c r="H427" s="6" t="s">
        <v>263</v>
      </c>
      <c r="I427" s="6" t="s">
        <v>264</v>
      </c>
      <c r="J427" s="18" t="str">
        <f>"80033"</f>
        <v>80033</v>
      </c>
      <c r="K427" s="6"/>
      <c r="L427" s="6" t="s">
        <v>22</v>
      </c>
      <c r="M427" s="6" t="s">
        <v>265</v>
      </c>
      <c r="N427" s="7" t="s">
        <v>266</v>
      </c>
    </row>
    <row r="428" spans="1:14" x14ac:dyDescent="0.3">
      <c r="A428" s="18" t="s">
        <v>2187</v>
      </c>
      <c r="B428" s="18" t="s">
        <v>2188</v>
      </c>
      <c r="C428" s="6"/>
      <c r="D428" s="6" t="s">
        <v>2189</v>
      </c>
      <c r="E428" s="6"/>
      <c r="F428" s="6" t="s">
        <v>2190</v>
      </c>
      <c r="G428" s="6"/>
      <c r="H428" s="6" t="s">
        <v>2191</v>
      </c>
      <c r="I428" s="6" t="s">
        <v>172</v>
      </c>
      <c r="J428" s="18" t="str">
        <f>"41169"</f>
        <v>41169</v>
      </c>
      <c r="K428" s="6"/>
      <c r="L428" s="6" t="s">
        <v>22</v>
      </c>
      <c r="M428" s="6" t="s">
        <v>2192</v>
      </c>
      <c r="N428" s="7" t="s">
        <v>2193</v>
      </c>
    </row>
    <row r="429" spans="1:14" x14ac:dyDescent="0.3">
      <c r="A429" s="18" t="s">
        <v>113</v>
      </c>
      <c r="B429" s="18" t="s">
        <v>1309</v>
      </c>
      <c r="C429" s="6"/>
      <c r="D429" s="6" t="s">
        <v>1310</v>
      </c>
      <c r="E429" s="6" t="s">
        <v>1311</v>
      </c>
      <c r="F429" s="6" t="s">
        <v>1312</v>
      </c>
      <c r="G429" s="6" t="s">
        <v>1313</v>
      </c>
      <c r="H429" s="6" t="s">
        <v>1314</v>
      </c>
      <c r="I429" s="6" t="s">
        <v>780</v>
      </c>
      <c r="J429" s="18" t="str">
        <f>"87505"</f>
        <v>87505</v>
      </c>
      <c r="K429" s="6"/>
      <c r="L429" s="6" t="s">
        <v>22</v>
      </c>
      <c r="M429" s="6" t="s">
        <v>1315</v>
      </c>
      <c r="N429" s="7" t="s">
        <v>1316</v>
      </c>
    </row>
    <row r="430" spans="1:14" x14ac:dyDescent="0.3">
      <c r="A430" s="18" t="s">
        <v>474</v>
      </c>
      <c r="B430" s="18" t="s">
        <v>2506</v>
      </c>
      <c r="C430" s="6"/>
      <c r="D430" s="6" t="s">
        <v>2507</v>
      </c>
      <c r="E430" s="6" t="s">
        <v>1632</v>
      </c>
      <c r="F430" s="6" t="s">
        <v>2508</v>
      </c>
      <c r="G430" s="6"/>
      <c r="H430" s="6" t="s">
        <v>1139</v>
      </c>
      <c r="I430" s="6" t="s">
        <v>118</v>
      </c>
      <c r="J430" s="18" t="str">
        <f>"48083"</f>
        <v>48083</v>
      </c>
      <c r="K430" s="6"/>
      <c r="L430" s="6" t="s">
        <v>22</v>
      </c>
      <c r="M430" s="6" t="s">
        <v>2509</v>
      </c>
      <c r="N430" s="7" t="s">
        <v>2510</v>
      </c>
    </row>
    <row r="431" spans="1:14" x14ac:dyDescent="0.3">
      <c r="A431" s="18" t="s">
        <v>308</v>
      </c>
      <c r="B431" s="18" t="s">
        <v>1490</v>
      </c>
      <c r="C431" s="6"/>
      <c r="D431" s="6" t="s">
        <v>670</v>
      </c>
      <c r="E431" s="6" t="s">
        <v>1491</v>
      </c>
      <c r="F431" s="6" t="s">
        <v>688</v>
      </c>
      <c r="G431" s="6"/>
      <c r="H431" s="6" t="s">
        <v>678</v>
      </c>
      <c r="I431" s="6" t="s">
        <v>137</v>
      </c>
      <c r="J431" s="18" t="str">
        <f>"96911"</f>
        <v>96911</v>
      </c>
      <c r="K431" s="6" t="s">
        <v>673</v>
      </c>
      <c r="L431" s="6" t="s">
        <v>22</v>
      </c>
      <c r="M431" s="6" t="s">
        <v>674</v>
      </c>
      <c r="N431" s="7" t="s">
        <v>675</v>
      </c>
    </row>
    <row r="432" spans="1:14" x14ac:dyDescent="0.3">
      <c r="A432" s="18" t="s">
        <v>2071</v>
      </c>
      <c r="B432" s="18" t="s">
        <v>2072</v>
      </c>
      <c r="C432" s="6" t="s">
        <v>2934</v>
      </c>
      <c r="D432" s="6" t="s">
        <v>2073</v>
      </c>
      <c r="E432" s="6" t="s">
        <v>2074</v>
      </c>
      <c r="F432" s="6" t="s">
        <v>2075</v>
      </c>
      <c r="G432" s="6" t="s">
        <v>170</v>
      </c>
      <c r="H432" s="6" t="s">
        <v>153</v>
      </c>
      <c r="I432" s="6" t="s">
        <v>154</v>
      </c>
      <c r="J432" s="18" t="str">
        <f>"46204"</f>
        <v>46204</v>
      </c>
      <c r="K432" s="6"/>
      <c r="L432" s="6" t="s">
        <v>22</v>
      </c>
      <c r="M432" s="6" t="s">
        <v>2076</v>
      </c>
      <c r="N432" s="7" t="s">
        <v>2077</v>
      </c>
    </row>
    <row r="433" spans="1:14" x14ac:dyDescent="0.3">
      <c r="A433" s="18" t="s">
        <v>287</v>
      </c>
      <c r="B433" s="18" t="s">
        <v>1387</v>
      </c>
      <c r="C433" s="6"/>
      <c r="D433" s="6" t="s">
        <v>1388</v>
      </c>
      <c r="E433" s="6" t="s">
        <v>64</v>
      </c>
      <c r="F433" s="6" t="s">
        <v>1389</v>
      </c>
      <c r="G433" s="6"/>
      <c r="H433" s="6" t="s">
        <v>928</v>
      </c>
      <c r="I433" s="6" t="s">
        <v>30</v>
      </c>
      <c r="J433" s="18" t="str">
        <f>"23269"</f>
        <v>23269</v>
      </c>
      <c r="K433" s="6"/>
      <c r="L433" s="6" t="s">
        <v>22</v>
      </c>
      <c r="M433" s="6" t="s">
        <v>1390</v>
      </c>
      <c r="N433" s="7" t="s">
        <v>1391</v>
      </c>
    </row>
    <row r="434" spans="1:14" x14ac:dyDescent="0.3">
      <c r="A434" s="18" t="s">
        <v>1581</v>
      </c>
      <c r="B434" s="18" t="s">
        <v>1582</v>
      </c>
      <c r="C434" s="6"/>
      <c r="D434" s="6" t="s">
        <v>1583</v>
      </c>
      <c r="E434" s="6" t="s">
        <v>791</v>
      </c>
      <c r="F434" s="6" t="s">
        <v>1584</v>
      </c>
      <c r="G434" s="6"/>
      <c r="H434" s="6" t="s">
        <v>325</v>
      </c>
      <c r="I434" s="6" t="s">
        <v>326</v>
      </c>
      <c r="J434" s="18" t="str">
        <f>"27699-1508"</f>
        <v>27699-1508</v>
      </c>
      <c r="K434" s="6"/>
      <c r="L434" s="6" t="s">
        <v>22</v>
      </c>
      <c r="M434" s="6" t="s">
        <v>1585</v>
      </c>
      <c r="N434" s="7" t="s">
        <v>1586</v>
      </c>
    </row>
    <row r="435" spans="1:14" x14ac:dyDescent="0.3">
      <c r="A435" s="18" t="s">
        <v>757</v>
      </c>
      <c r="B435" s="18" t="s">
        <v>2060</v>
      </c>
      <c r="C435" s="6"/>
      <c r="D435" s="6" t="s">
        <v>827</v>
      </c>
      <c r="E435" s="6"/>
      <c r="F435" s="6" t="s">
        <v>2061</v>
      </c>
      <c r="G435" s="6" t="s">
        <v>2062</v>
      </c>
      <c r="H435" s="6" t="s">
        <v>38</v>
      </c>
      <c r="I435" s="6" t="s">
        <v>39</v>
      </c>
      <c r="J435" s="18" t="str">
        <f>"20590"</f>
        <v>20590</v>
      </c>
      <c r="K435" s="6"/>
      <c r="L435" s="6" t="s">
        <v>22</v>
      </c>
      <c r="M435" s="6" t="s">
        <v>2063</v>
      </c>
      <c r="N435" s="7" t="s">
        <v>2064</v>
      </c>
    </row>
    <row r="436" spans="1:14" x14ac:dyDescent="0.3">
      <c r="A436" s="18" t="s">
        <v>236</v>
      </c>
      <c r="B436" s="18" t="s">
        <v>3456</v>
      </c>
      <c r="C436" s="6"/>
      <c r="D436" s="6" t="s">
        <v>3457</v>
      </c>
      <c r="E436" s="6" t="s">
        <v>3458</v>
      </c>
      <c r="F436" s="6" t="s">
        <v>3459</v>
      </c>
      <c r="G436" s="6" t="s">
        <v>3460</v>
      </c>
      <c r="H436" s="6" t="s">
        <v>3461</v>
      </c>
      <c r="I436" s="6" t="s">
        <v>703</v>
      </c>
      <c r="J436" s="25" t="s">
        <v>3462</v>
      </c>
      <c r="K436" s="6"/>
      <c r="L436" s="6" t="s">
        <v>22</v>
      </c>
      <c r="M436" s="6" t="s">
        <v>3463</v>
      </c>
      <c r="N436" s="8" t="s">
        <v>3464</v>
      </c>
    </row>
    <row r="437" spans="1:14" x14ac:dyDescent="0.3">
      <c r="A437" s="18" t="s">
        <v>2593</v>
      </c>
      <c r="B437" s="18" t="s">
        <v>2594</v>
      </c>
      <c r="C437" s="6"/>
      <c r="D437" s="6" t="s">
        <v>1725</v>
      </c>
      <c r="E437" s="6" t="s">
        <v>2595</v>
      </c>
      <c r="F437" s="6" t="s">
        <v>2584</v>
      </c>
      <c r="G437" s="6"/>
      <c r="H437" s="6" t="s">
        <v>364</v>
      </c>
      <c r="I437" s="6" t="s">
        <v>172</v>
      </c>
      <c r="J437" s="18" t="str">
        <f>"40622"</f>
        <v>40622</v>
      </c>
      <c r="K437" s="6"/>
      <c r="L437" s="6" t="s">
        <v>22</v>
      </c>
      <c r="M437" s="6" t="s">
        <v>2591</v>
      </c>
      <c r="N437" s="7" t="s">
        <v>2596</v>
      </c>
    </row>
    <row r="438" spans="1:14" x14ac:dyDescent="0.3">
      <c r="A438" s="18" t="s">
        <v>113</v>
      </c>
      <c r="B438" s="18" t="s">
        <v>2583</v>
      </c>
      <c r="C438" s="6"/>
      <c r="D438" s="6" t="s">
        <v>1725</v>
      </c>
      <c r="E438" s="6" t="s">
        <v>791</v>
      </c>
      <c r="F438" s="6" t="s">
        <v>2584</v>
      </c>
      <c r="G438" s="6"/>
      <c r="H438" s="6" t="s">
        <v>364</v>
      </c>
      <c r="I438" s="6" t="s">
        <v>172</v>
      </c>
      <c r="J438" s="18" t="str">
        <f>"40622"</f>
        <v>40622</v>
      </c>
      <c r="K438" s="6"/>
      <c r="L438" s="6" t="s">
        <v>22</v>
      </c>
      <c r="M438" s="6" t="s">
        <v>2585</v>
      </c>
      <c r="N438" s="7" t="s">
        <v>2586</v>
      </c>
    </row>
    <row r="439" spans="1:14" x14ac:dyDescent="0.3">
      <c r="A439" s="18" t="s">
        <v>3273</v>
      </c>
      <c r="B439" s="18" t="s">
        <v>3274</v>
      </c>
      <c r="C439" s="6"/>
      <c r="D439" s="6" t="s">
        <v>3275</v>
      </c>
      <c r="E439" s="6" t="s">
        <v>206</v>
      </c>
      <c r="F439" s="6" t="s">
        <v>3276</v>
      </c>
      <c r="G439" s="6"/>
      <c r="H439" s="6" t="s">
        <v>1145</v>
      </c>
      <c r="I439" s="6" t="s">
        <v>1146</v>
      </c>
      <c r="J439" s="18">
        <v>97317</v>
      </c>
      <c r="K439" s="6"/>
      <c r="L439" s="6" t="s">
        <v>22</v>
      </c>
      <c r="M439" s="6" t="s">
        <v>3277</v>
      </c>
      <c r="N439" s="7" t="s">
        <v>3278</v>
      </c>
    </row>
    <row r="440" spans="1:14" x14ac:dyDescent="0.3">
      <c r="A440" s="18" t="s">
        <v>287</v>
      </c>
      <c r="B440" s="18" t="s">
        <v>513</v>
      </c>
      <c r="C440" s="6"/>
      <c r="D440" s="6" t="s">
        <v>514</v>
      </c>
      <c r="E440" s="6" t="s">
        <v>515</v>
      </c>
      <c r="F440" s="6" t="s">
        <v>516</v>
      </c>
      <c r="G440" s="6"/>
      <c r="H440" s="6" t="s">
        <v>517</v>
      </c>
      <c r="I440" s="6" t="s">
        <v>454</v>
      </c>
      <c r="J440" s="18" t="str">
        <f>"61554"</f>
        <v>61554</v>
      </c>
      <c r="K440" s="6"/>
      <c r="L440" s="6" t="s">
        <v>22</v>
      </c>
      <c r="M440" s="6" t="s">
        <v>518</v>
      </c>
      <c r="N440" s="7" t="s">
        <v>519</v>
      </c>
    </row>
    <row r="441" spans="1:14" x14ac:dyDescent="0.3">
      <c r="A441" s="18" t="s">
        <v>1160</v>
      </c>
      <c r="B441" s="18" t="s">
        <v>2078</v>
      </c>
      <c r="C441" s="6"/>
      <c r="D441" s="6" t="s">
        <v>1106</v>
      </c>
      <c r="E441" s="6" t="s">
        <v>2079</v>
      </c>
      <c r="F441" s="6" t="s">
        <v>1107</v>
      </c>
      <c r="G441" s="6"/>
      <c r="H441" s="6" t="s">
        <v>38</v>
      </c>
      <c r="I441" s="6" t="s">
        <v>39</v>
      </c>
      <c r="J441" s="18" t="str">
        <f>"20590"</f>
        <v>20590</v>
      </c>
      <c r="K441" s="6"/>
      <c r="L441" s="6" t="s">
        <v>22</v>
      </c>
      <c r="M441" s="6" t="s">
        <v>2080</v>
      </c>
      <c r="N441" s="7" t="s">
        <v>2081</v>
      </c>
    </row>
    <row r="442" spans="1:14" x14ac:dyDescent="0.3">
      <c r="A442" s="18" t="s">
        <v>991</v>
      </c>
      <c r="B442" s="18" t="s">
        <v>2262</v>
      </c>
      <c r="C442" s="6"/>
      <c r="D442" s="6" t="s">
        <v>403</v>
      </c>
      <c r="E442" s="6" t="s">
        <v>2263</v>
      </c>
      <c r="F442" s="6" t="s">
        <v>2264</v>
      </c>
      <c r="G442" s="6"/>
      <c r="H442" s="6" t="s">
        <v>2160</v>
      </c>
      <c r="I442" s="6" t="s">
        <v>128</v>
      </c>
      <c r="J442" s="18" t="str">
        <f>"90025"</f>
        <v>90025</v>
      </c>
      <c r="K442" s="6"/>
      <c r="L442" s="6" t="s">
        <v>22</v>
      </c>
      <c r="M442" s="6" t="s">
        <v>2265</v>
      </c>
      <c r="N442" s="8" t="s">
        <v>3412</v>
      </c>
    </row>
    <row r="443" spans="1:14" x14ac:dyDescent="0.3">
      <c r="A443" s="18" t="s">
        <v>2285</v>
      </c>
      <c r="B443" s="18" t="s">
        <v>2022</v>
      </c>
      <c r="C443" s="6"/>
      <c r="D443" s="6" t="s">
        <v>2260</v>
      </c>
      <c r="E443" s="6" t="s">
        <v>3382</v>
      </c>
      <c r="F443" s="6" t="s">
        <v>3383</v>
      </c>
      <c r="G443" s="6" t="s">
        <v>3384</v>
      </c>
      <c r="H443" s="6" t="s">
        <v>191</v>
      </c>
      <c r="I443" s="6" t="s">
        <v>21</v>
      </c>
      <c r="J443" s="18">
        <v>21230</v>
      </c>
      <c r="K443" s="6"/>
      <c r="L443" s="28" t="s">
        <v>22</v>
      </c>
      <c r="M443" s="6" t="s">
        <v>3369</v>
      </c>
      <c r="N443" s="8" t="s">
        <v>3370</v>
      </c>
    </row>
    <row r="444" spans="1:14" x14ac:dyDescent="0.3">
      <c r="A444" s="18" t="s">
        <v>2021</v>
      </c>
      <c r="B444" s="18" t="s">
        <v>2022</v>
      </c>
      <c r="C444" s="6" t="s">
        <v>2934</v>
      </c>
      <c r="D444" s="6" t="s">
        <v>2023</v>
      </c>
      <c r="E444" s="6"/>
      <c r="F444" s="6" t="s">
        <v>2024</v>
      </c>
      <c r="G444" s="6"/>
      <c r="H444" s="6" t="s">
        <v>1197</v>
      </c>
      <c r="I444" s="6" t="s">
        <v>172</v>
      </c>
      <c r="J444" s="18" t="str">
        <f>"42071"</f>
        <v>42071</v>
      </c>
      <c r="K444" s="6"/>
      <c r="L444" s="6" t="s">
        <v>22</v>
      </c>
      <c r="M444" s="6" t="s">
        <v>2025</v>
      </c>
      <c r="N444" s="7" t="s">
        <v>2026</v>
      </c>
    </row>
    <row r="445" spans="1:14" x14ac:dyDescent="0.3">
      <c r="A445" s="18" t="s">
        <v>767</v>
      </c>
      <c r="B445" s="18" t="s">
        <v>2163</v>
      </c>
      <c r="C445" s="6"/>
      <c r="D445" s="6" t="s">
        <v>2164</v>
      </c>
      <c r="E445" s="6" t="s">
        <v>2165</v>
      </c>
      <c r="F445" s="6" t="s">
        <v>2048</v>
      </c>
      <c r="G445" s="6"/>
      <c r="H445" s="6" t="s">
        <v>1323</v>
      </c>
      <c r="I445" s="6" t="s">
        <v>1324</v>
      </c>
      <c r="J445" s="18" t="str">
        <f>"30005"</f>
        <v>30005</v>
      </c>
      <c r="K445" s="6"/>
      <c r="L445" s="6" t="s">
        <v>22</v>
      </c>
      <c r="M445" s="6" t="s">
        <v>2166</v>
      </c>
      <c r="N445" s="7" t="s">
        <v>2167</v>
      </c>
    </row>
    <row r="446" spans="1:14" x14ac:dyDescent="0.3">
      <c r="A446" s="18" t="s">
        <v>579</v>
      </c>
      <c r="B446" s="18" t="s">
        <v>580</v>
      </c>
      <c r="C446" s="6"/>
      <c r="D446" s="6" t="s">
        <v>581</v>
      </c>
      <c r="E446" s="6" t="s">
        <v>277</v>
      </c>
      <c r="F446" s="6" t="s">
        <v>582</v>
      </c>
      <c r="G446" s="6" t="s">
        <v>583</v>
      </c>
      <c r="H446" s="6" t="s">
        <v>584</v>
      </c>
      <c r="I446" s="6" t="s">
        <v>585</v>
      </c>
      <c r="J446" s="18" t="str">
        <f>"84116"</f>
        <v>84116</v>
      </c>
      <c r="K446" s="6"/>
      <c r="L446" s="6" t="s">
        <v>22</v>
      </c>
      <c r="M446" s="6" t="s">
        <v>586</v>
      </c>
      <c r="N446" s="7" t="s">
        <v>587</v>
      </c>
    </row>
    <row r="447" spans="1:14" x14ac:dyDescent="0.3">
      <c r="A447" s="18" t="s">
        <v>296</v>
      </c>
      <c r="B447" s="18" t="s">
        <v>297</v>
      </c>
      <c r="C447" s="6"/>
      <c r="D447" s="6" t="s">
        <v>298</v>
      </c>
      <c r="E447" s="6" t="s">
        <v>64</v>
      </c>
      <c r="F447" s="6" t="s">
        <v>299</v>
      </c>
      <c r="G447" s="6"/>
      <c r="H447" s="6" t="s">
        <v>300</v>
      </c>
      <c r="I447" s="6" t="s">
        <v>301</v>
      </c>
      <c r="J447" s="18" t="str">
        <f>"19903-1321"</f>
        <v>19903-1321</v>
      </c>
      <c r="K447" s="6"/>
      <c r="L447" s="6" t="s">
        <v>22</v>
      </c>
      <c r="M447" s="6" t="s">
        <v>302</v>
      </c>
      <c r="N447" s="7" t="s">
        <v>303</v>
      </c>
    </row>
    <row r="448" spans="1:14" x14ac:dyDescent="0.3">
      <c r="A448" s="18" t="s">
        <v>1730</v>
      </c>
      <c r="B448" s="18" t="s">
        <v>2447</v>
      </c>
      <c r="C448" s="6"/>
      <c r="D448" s="6" t="s">
        <v>556</v>
      </c>
      <c r="E448" s="6" t="s">
        <v>2448</v>
      </c>
      <c r="F448" s="6" t="s">
        <v>558</v>
      </c>
      <c r="G448" s="6"/>
      <c r="H448" s="6" t="s">
        <v>559</v>
      </c>
      <c r="I448" s="6" t="s">
        <v>560</v>
      </c>
      <c r="J448" s="18" t="str">
        <f>"39157"</f>
        <v>39157</v>
      </c>
      <c r="K448" s="6"/>
      <c r="L448" s="6" t="s">
        <v>22</v>
      </c>
      <c r="M448" s="6" t="s">
        <v>561</v>
      </c>
      <c r="N448" s="7" t="s">
        <v>2449</v>
      </c>
    </row>
    <row r="449" spans="1:14" x14ac:dyDescent="0.3">
      <c r="A449" s="18" t="s">
        <v>1117</v>
      </c>
      <c r="B449" s="18" t="s">
        <v>1118</v>
      </c>
      <c r="C449" s="6"/>
      <c r="D449" s="6" t="s">
        <v>115</v>
      </c>
      <c r="E449" s="6" t="s">
        <v>1119</v>
      </c>
      <c r="F449" s="6" t="s">
        <v>1120</v>
      </c>
      <c r="G449" s="6"/>
      <c r="H449" s="6" t="s">
        <v>1121</v>
      </c>
      <c r="I449" s="6" t="s">
        <v>118</v>
      </c>
      <c r="J449" s="18" t="str">
        <f>"48821"</f>
        <v>48821</v>
      </c>
      <c r="K449" s="6"/>
      <c r="L449" s="6" t="s">
        <v>22</v>
      </c>
      <c r="M449" s="6" t="s">
        <v>1122</v>
      </c>
      <c r="N449" s="7" t="s">
        <v>1123</v>
      </c>
    </row>
    <row r="450" spans="1:14" x14ac:dyDescent="0.3">
      <c r="A450" s="18" t="s">
        <v>1132</v>
      </c>
      <c r="B450" s="18" t="s">
        <v>2278</v>
      </c>
      <c r="C450" s="6"/>
      <c r="D450" s="6" t="s">
        <v>1830</v>
      </c>
      <c r="E450" s="6" t="s">
        <v>2279</v>
      </c>
      <c r="F450" s="6" t="s">
        <v>2280</v>
      </c>
      <c r="G450" s="6"/>
      <c r="H450" s="6" t="s">
        <v>2281</v>
      </c>
      <c r="I450" s="6" t="s">
        <v>454</v>
      </c>
      <c r="J450" s="18" t="str">
        <f>"60504"</f>
        <v>60504</v>
      </c>
      <c r="K450" s="6"/>
      <c r="L450" s="6" t="s">
        <v>22</v>
      </c>
      <c r="M450" s="6" t="s">
        <v>2282</v>
      </c>
      <c r="N450" s="7" t="s">
        <v>2283</v>
      </c>
    </row>
    <row r="451" spans="1:14" x14ac:dyDescent="0.3">
      <c r="A451" s="18" t="s">
        <v>2398</v>
      </c>
      <c r="B451" s="18" t="s">
        <v>2399</v>
      </c>
      <c r="C451" s="6"/>
      <c r="D451" s="6" t="s">
        <v>2317</v>
      </c>
      <c r="E451" s="6" t="s">
        <v>168</v>
      </c>
      <c r="F451" s="6" t="s">
        <v>2318</v>
      </c>
      <c r="G451" s="6"/>
      <c r="H451" s="6" t="s">
        <v>364</v>
      </c>
      <c r="I451" s="6" t="s">
        <v>172</v>
      </c>
      <c r="J451" s="18" t="str">
        <f>"40601"</f>
        <v>40601</v>
      </c>
      <c r="K451" s="6"/>
      <c r="L451" s="6" t="s">
        <v>22</v>
      </c>
      <c r="M451" s="6" t="s">
        <v>2400</v>
      </c>
      <c r="N451" s="7" t="s">
        <v>2401</v>
      </c>
    </row>
    <row r="452" spans="1:14" x14ac:dyDescent="0.3">
      <c r="A452" s="18" t="s">
        <v>2136</v>
      </c>
      <c r="B452" s="18" t="s">
        <v>2137</v>
      </c>
      <c r="C452" s="6"/>
      <c r="D452" s="6" t="s">
        <v>2138</v>
      </c>
      <c r="E452" s="6" t="s">
        <v>248</v>
      </c>
      <c r="F452" s="6" t="s">
        <v>2139</v>
      </c>
      <c r="G452" s="6" t="s">
        <v>2140</v>
      </c>
      <c r="H452" s="6" t="s">
        <v>2141</v>
      </c>
      <c r="I452" s="6" t="s">
        <v>172</v>
      </c>
      <c r="J452" s="18" t="str">
        <f>"41822"</f>
        <v>41822</v>
      </c>
      <c r="K452" s="6"/>
      <c r="L452" s="6" t="s">
        <v>22</v>
      </c>
      <c r="M452" s="6" t="s">
        <v>2142</v>
      </c>
      <c r="N452" s="7" t="s">
        <v>2143</v>
      </c>
    </row>
    <row r="453" spans="1:14" x14ac:dyDescent="0.3">
      <c r="A453" s="18" t="s">
        <v>977</v>
      </c>
      <c r="B453" s="18" t="s">
        <v>246</v>
      </c>
      <c r="C453" s="6"/>
      <c r="D453" s="6" t="s">
        <v>1831</v>
      </c>
      <c r="E453" s="6" t="s">
        <v>1832</v>
      </c>
      <c r="F453" s="6" t="s">
        <v>1833</v>
      </c>
      <c r="G453" s="6"/>
      <c r="H453" s="6" t="s">
        <v>1834</v>
      </c>
      <c r="I453" s="6" t="s">
        <v>30</v>
      </c>
      <c r="J453" s="18" t="str">
        <f>"22150"</f>
        <v>22150</v>
      </c>
      <c r="K453" s="6"/>
      <c r="L453" s="6" t="s">
        <v>22</v>
      </c>
      <c r="M453" s="6" t="s">
        <v>1835</v>
      </c>
      <c r="N453" s="7" t="s">
        <v>1836</v>
      </c>
    </row>
    <row r="454" spans="1:14" x14ac:dyDescent="0.3">
      <c r="A454" s="18" t="s">
        <v>245</v>
      </c>
      <c r="B454" s="18" t="s">
        <v>246</v>
      </c>
      <c r="C454" s="6"/>
      <c r="D454" s="6" t="s">
        <v>247</v>
      </c>
      <c r="E454" s="6" t="s">
        <v>248</v>
      </c>
      <c r="F454" s="6" t="s">
        <v>249</v>
      </c>
      <c r="G454" s="6"/>
      <c r="H454" s="6" t="s">
        <v>233</v>
      </c>
      <c r="I454" s="6" t="s">
        <v>172</v>
      </c>
      <c r="J454" s="18" t="str">
        <f>"42748"</f>
        <v>42748</v>
      </c>
      <c r="K454" s="6"/>
      <c r="L454" s="6" t="s">
        <v>22</v>
      </c>
      <c r="M454" s="6" t="s">
        <v>250</v>
      </c>
      <c r="N454" s="7" t="s">
        <v>251</v>
      </c>
    </row>
    <row r="455" spans="1:14" x14ac:dyDescent="0.3">
      <c r="A455" s="31" t="s">
        <v>658</v>
      </c>
      <c r="B455" s="31" t="s">
        <v>246</v>
      </c>
      <c r="C455" s="28"/>
      <c r="D455" s="28" t="s">
        <v>3350</v>
      </c>
      <c r="E455" s="28" t="s">
        <v>206</v>
      </c>
      <c r="F455" s="28" t="s">
        <v>3390</v>
      </c>
      <c r="G455" s="28"/>
      <c r="H455" s="28" t="s">
        <v>3351</v>
      </c>
      <c r="I455" s="28" t="s">
        <v>1146</v>
      </c>
      <c r="J455" s="31">
        <v>97203</v>
      </c>
      <c r="K455" s="28"/>
      <c r="L455" s="28" t="s">
        <v>22</v>
      </c>
      <c r="M455" s="28" t="s">
        <v>3391</v>
      </c>
      <c r="N455" s="41" t="s">
        <v>3352</v>
      </c>
    </row>
    <row r="456" spans="1:14" x14ac:dyDescent="0.3">
      <c r="A456" s="31" t="s">
        <v>1208</v>
      </c>
      <c r="B456" s="31" t="s">
        <v>246</v>
      </c>
      <c r="C456" s="28"/>
      <c r="D456" s="28" t="s">
        <v>3357</v>
      </c>
      <c r="E456" s="28" t="s">
        <v>290</v>
      </c>
      <c r="F456" s="28" t="s">
        <v>3358</v>
      </c>
      <c r="G456" s="28"/>
      <c r="H456" s="28" t="s">
        <v>3359</v>
      </c>
      <c r="I456" s="28" t="s">
        <v>454</v>
      </c>
      <c r="J456" s="31">
        <v>60302</v>
      </c>
      <c r="K456" s="28"/>
      <c r="L456" s="28" t="s">
        <v>22</v>
      </c>
      <c r="M456" s="28" t="s">
        <v>3360</v>
      </c>
      <c r="N456" s="41" t="s">
        <v>3361</v>
      </c>
    </row>
    <row r="457" spans="1:14" x14ac:dyDescent="0.3">
      <c r="A457" s="31" t="s">
        <v>3571</v>
      </c>
      <c r="B457" s="31" t="s">
        <v>246</v>
      </c>
      <c r="C457" s="28"/>
      <c r="D457" s="28" t="s">
        <v>3572</v>
      </c>
      <c r="E457" s="28" t="s">
        <v>3573</v>
      </c>
      <c r="F457" s="28" t="s">
        <v>3574</v>
      </c>
      <c r="G457" s="28"/>
      <c r="H457" s="28" t="s">
        <v>551</v>
      </c>
      <c r="I457" s="28" t="s">
        <v>30</v>
      </c>
      <c r="J457" s="31">
        <v>22406</v>
      </c>
      <c r="K457" s="28"/>
      <c r="L457" s="28" t="s">
        <v>22</v>
      </c>
      <c r="M457" s="28" t="s">
        <v>3575</v>
      </c>
      <c r="N457" s="41" t="s">
        <v>3576</v>
      </c>
    </row>
    <row r="458" spans="1:14" x14ac:dyDescent="0.3">
      <c r="A458" s="18" t="s">
        <v>480</v>
      </c>
      <c r="B458" s="18" t="s">
        <v>246</v>
      </c>
      <c r="C458" s="6"/>
      <c r="D458" s="6" t="s">
        <v>1714</v>
      </c>
      <c r="E458" s="6"/>
      <c r="F458" s="6" t="s">
        <v>1715</v>
      </c>
      <c r="G458" s="6"/>
      <c r="H458" s="6" t="s">
        <v>1709</v>
      </c>
      <c r="I458" s="6" t="s">
        <v>1217</v>
      </c>
      <c r="J458" s="18" t="str">
        <f>"35401"</f>
        <v>35401</v>
      </c>
      <c r="K458" s="6"/>
      <c r="L458" s="6" t="s">
        <v>22</v>
      </c>
      <c r="M458" s="6" t="s">
        <v>1716</v>
      </c>
      <c r="N458" s="36" t="s">
        <v>1717</v>
      </c>
    </row>
    <row r="459" spans="1:14" x14ac:dyDescent="0.3">
      <c r="A459" s="18" t="s">
        <v>150</v>
      </c>
      <c r="B459" s="18" t="s">
        <v>246</v>
      </c>
      <c r="C459" s="6"/>
      <c r="D459" s="6" t="s">
        <v>2480</v>
      </c>
      <c r="E459" s="6" t="s">
        <v>1940</v>
      </c>
      <c r="F459" s="6" t="s">
        <v>2481</v>
      </c>
      <c r="G459" s="6"/>
      <c r="H459" s="6" t="s">
        <v>2482</v>
      </c>
      <c r="I459" s="6" t="s">
        <v>30</v>
      </c>
      <c r="J459" s="18">
        <v>24060</v>
      </c>
      <c r="K459" s="6"/>
      <c r="L459" s="6" t="s">
        <v>22</v>
      </c>
      <c r="M459" s="6" t="s">
        <v>3577</v>
      </c>
      <c r="N459" s="8" t="s">
        <v>3578</v>
      </c>
    </row>
    <row r="460" spans="1:14" x14ac:dyDescent="0.3">
      <c r="A460" s="18" t="s">
        <v>902</v>
      </c>
      <c r="B460" s="18" t="s">
        <v>246</v>
      </c>
      <c r="C460" s="6"/>
      <c r="D460" s="6" t="s">
        <v>870</v>
      </c>
      <c r="E460" s="6" t="s">
        <v>731</v>
      </c>
      <c r="F460" s="6" t="s">
        <v>887</v>
      </c>
      <c r="G460" s="6" t="s">
        <v>903</v>
      </c>
      <c r="H460" s="6" t="s">
        <v>874</v>
      </c>
      <c r="I460" s="6" t="s">
        <v>875</v>
      </c>
      <c r="J460" s="18" t="str">
        <f>"37243-0341"</f>
        <v>37243-0341</v>
      </c>
      <c r="K460" s="6"/>
      <c r="L460" s="6" t="s">
        <v>22</v>
      </c>
      <c r="M460" s="6" t="s">
        <v>904</v>
      </c>
      <c r="N460" s="7" t="s">
        <v>905</v>
      </c>
    </row>
    <row r="461" spans="1:14" x14ac:dyDescent="0.3">
      <c r="A461" s="18" t="s">
        <v>308</v>
      </c>
      <c r="B461" s="18" t="s">
        <v>2385</v>
      </c>
      <c r="C461" s="6"/>
      <c r="D461" s="6" t="s">
        <v>2386</v>
      </c>
      <c r="E461" s="6" t="s">
        <v>836</v>
      </c>
      <c r="F461" s="6" t="s">
        <v>2387</v>
      </c>
      <c r="G461" s="6"/>
      <c r="H461" s="6" t="s">
        <v>2388</v>
      </c>
      <c r="I461" s="6" t="s">
        <v>280</v>
      </c>
      <c r="J461" s="18" t="str">
        <f>"98532"</f>
        <v>98532</v>
      </c>
      <c r="K461" s="6"/>
      <c r="L461" s="6" t="s">
        <v>22</v>
      </c>
      <c r="M461" s="6" t="s">
        <v>2389</v>
      </c>
      <c r="N461" s="7" t="s">
        <v>2390</v>
      </c>
    </row>
    <row r="462" spans="1:14" x14ac:dyDescent="0.3">
      <c r="A462" s="18" t="s">
        <v>1409</v>
      </c>
      <c r="B462" s="18" t="s">
        <v>2957</v>
      </c>
      <c r="C462" s="6"/>
      <c r="D462" s="6" t="s">
        <v>2948</v>
      </c>
      <c r="E462" s="6" t="s">
        <v>2958</v>
      </c>
      <c r="F462" s="6" t="s">
        <v>2950</v>
      </c>
      <c r="G462" s="6" t="s">
        <v>2951</v>
      </c>
      <c r="H462" s="6" t="s">
        <v>874</v>
      </c>
      <c r="I462" s="6" t="s">
        <v>875</v>
      </c>
      <c r="J462" s="18" t="str">
        <f>"37211"</f>
        <v>37211</v>
      </c>
      <c r="K462" s="6"/>
      <c r="L462" s="6" t="s">
        <v>22</v>
      </c>
      <c r="M462" s="6" t="s">
        <v>2952</v>
      </c>
      <c r="N462" s="7" t="s">
        <v>2959</v>
      </c>
    </row>
    <row r="463" spans="1:14" x14ac:dyDescent="0.3">
      <c r="A463" s="18" t="s">
        <v>1581</v>
      </c>
      <c r="B463" s="18" t="s">
        <v>3511</v>
      </c>
      <c r="C463" s="6"/>
      <c r="D463" s="6" t="s">
        <v>2299</v>
      </c>
      <c r="E463" s="6" t="s">
        <v>290</v>
      </c>
      <c r="F463" s="6" t="s">
        <v>3507</v>
      </c>
      <c r="G463" s="6"/>
      <c r="H463" s="6" t="s">
        <v>3508</v>
      </c>
      <c r="I463" s="6" t="s">
        <v>560</v>
      </c>
      <c r="J463" s="18">
        <v>38655</v>
      </c>
      <c r="K463" s="6"/>
      <c r="L463" s="6" t="s">
        <v>22</v>
      </c>
      <c r="M463" s="6" t="s">
        <v>3509</v>
      </c>
      <c r="N463" s="8" t="s">
        <v>3512</v>
      </c>
    </row>
    <row r="464" spans="1:14" x14ac:dyDescent="0.3">
      <c r="A464" s="18" t="s">
        <v>801</v>
      </c>
      <c r="B464" s="18" t="s">
        <v>802</v>
      </c>
      <c r="C464" s="6"/>
      <c r="D464" s="6" t="s">
        <v>803</v>
      </c>
      <c r="E464" s="6" t="s">
        <v>804</v>
      </c>
      <c r="F464" s="6" t="s">
        <v>805</v>
      </c>
      <c r="G464" s="6" t="s">
        <v>806</v>
      </c>
      <c r="H464" s="6" t="s">
        <v>410</v>
      </c>
      <c r="I464" s="6" t="s">
        <v>264</v>
      </c>
      <c r="J464" s="18" t="str">
        <f>"80205"</f>
        <v>80205</v>
      </c>
      <c r="K464" s="6"/>
      <c r="L464" s="6" t="s">
        <v>22</v>
      </c>
      <c r="M464" s="6" t="s">
        <v>807</v>
      </c>
      <c r="N464" s="7" t="s">
        <v>808</v>
      </c>
    </row>
    <row r="465" spans="1:14" x14ac:dyDescent="0.3">
      <c r="A465" s="18" t="s">
        <v>104</v>
      </c>
      <c r="B465" s="18" t="s">
        <v>2691</v>
      </c>
      <c r="C465" s="6" t="s">
        <v>2934</v>
      </c>
      <c r="D465" s="6" t="s">
        <v>143</v>
      </c>
      <c r="E465" s="6" t="s">
        <v>64</v>
      </c>
      <c r="F465" s="6" t="s">
        <v>145</v>
      </c>
      <c r="G465" s="6"/>
      <c r="H465" s="6" t="s">
        <v>146</v>
      </c>
      <c r="I465" s="6" t="s">
        <v>147</v>
      </c>
      <c r="J465" s="18" t="str">
        <f>"58505-0700"</f>
        <v>58505-0700</v>
      </c>
      <c r="K465" s="6"/>
      <c r="L465" s="6" t="s">
        <v>22</v>
      </c>
      <c r="M465" s="6" t="s">
        <v>2692</v>
      </c>
      <c r="N465" s="7" t="s">
        <v>2693</v>
      </c>
    </row>
    <row r="466" spans="1:14" x14ac:dyDescent="0.3">
      <c r="A466" s="18" t="s">
        <v>267</v>
      </c>
      <c r="B466" s="18" t="s">
        <v>268</v>
      </c>
      <c r="C466" s="6"/>
      <c r="D466" s="6" t="s">
        <v>269</v>
      </c>
      <c r="E466" s="6" t="s">
        <v>270</v>
      </c>
      <c r="F466" s="6" t="s">
        <v>271</v>
      </c>
      <c r="G466" s="6"/>
      <c r="H466" s="6" t="s">
        <v>272</v>
      </c>
      <c r="I466" s="6" t="s">
        <v>30</v>
      </c>
      <c r="J466" s="18" t="str">
        <f>"20190"</f>
        <v>20190</v>
      </c>
      <c r="K466" s="6"/>
      <c r="L466" s="6" t="s">
        <v>22</v>
      </c>
      <c r="M466" s="6" t="s">
        <v>273</v>
      </c>
      <c r="N466" s="7" t="s">
        <v>274</v>
      </c>
    </row>
    <row r="467" spans="1:14" x14ac:dyDescent="0.3">
      <c r="A467" s="18" t="s">
        <v>1805</v>
      </c>
      <c r="B467" s="18" t="s">
        <v>2122</v>
      </c>
      <c r="C467" s="6"/>
      <c r="D467" s="6" t="s">
        <v>2123</v>
      </c>
      <c r="E467" s="6" t="s">
        <v>46</v>
      </c>
      <c r="F467" s="6" t="s">
        <v>2124</v>
      </c>
      <c r="G467" s="6" t="s">
        <v>2125</v>
      </c>
      <c r="H467" s="6" t="s">
        <v>1079</v>
      </c>
      <c r="I467" s="6" t="s">
        <v>373</v>
      </c>
      <c r="J467" s="18" t="str">
        <f>"55105"</f>
        <v>55105</v>
      </c>
      <c r="K467" s="6"/>
      <c r="L467" s="6" t="s">
        <v>22</v>
      </c>
      <c r="M467" s="6" t="s">
        <v>2126</v>
      </c>
      <c r="N467" s="7" t="s">
        <v>2127</v>
      </c>
    </row>
    <row r="468" spans="1:14" x14ac:dyDescent="0.3">
      <c r="A468" s="18" t="s">
        <v>1085</v>
      </c>
      <c r="B468" s="18" t="s">
        <v>1086</v>
      </c>
      <c r="C468" s="6"/>
      <c r="D468" s="6" t="s">
        <v>1077</v>
      </c>
      <c r="E468" s="6" t="s">
        <v>1087</v>
      </c>
      <c r="F468" s="6" t="s">
        <v>1078</v>
      </c>
      <c r="G468" s="6" t="s">
        <v>126</v>
      </c>
      <c r="H468" s="6" t="s">
        <v>1079</v>
      </c>
      <c r="I468" s="6" t="s">
        <v>373</v>
      </c>
      <c r="J468" s="18" t="str">
        <f>"55101-5150"</f>
        <v>55101-5150</v>
      </c>
      <c r="K468" s="6"/>
      <c r="L468" s="6" t="s">
        <v>22</v>
      </c>
      <c r="M468" s="6" t="s">
        <v>1088</v>
      </c>
      <c r="N468" s="7" t="s">
        <v>1089</v>
      </c>
    </row>
    <row r="469" spans="1:14" x14ac:dyDescent="0.3">
      <c r="A469" s="18" t="s">
        <v>1342</v>
      </c>
      <c r="B469" s="18" t="s">
        <v>1086</v>
      </c>
      <c r="C469" s="6"/>
      <c r="D469" s="6" t="s">
        <v>1849</v>
      </c>
      <c r="E469" s="6"/>
      <c r="F469" s="6" t="s">
        <v>1850</v>
      </c>
      <c r="G469" s="6"/>
      <c r="H469" s="6" t="s">
        <v>1851</v>
      </c>
      <c r="I469" s="6" t="s">
        <v>172</v>
      </c>
      <c r="J469" s="18" t="str">
        <f>"41143"</f>
        <v>41143</v>
      </c>
      <c r="K469" s="6"/>
      <c r="L469" s="6" t="s">
        <v>22</v>
      </c>
      <c r="M469" s="6" t="s">
        <v>1852</v>
      </c>
      <c r="N469" s="7"/>
    </row>
    <row r="470" spans="1:14" x14ac:dyDescent="0.3">
      <c r="A470" s="18" t="s">
        <v>89</v>
      </c>
      <c r="B470" s="18" t="s">
        <v>90</v>
      </c>
      <c r="C470" s="6"/>
      <c r="D470" s="6" t="s">
        <v>91</v>
      </c>
      <c r="E470" s="6" t="s">
        <v>64</v>
      </c>
      <c r="F470" s="6" t="s">
        <v>92</v>
      </c>
      <c r="G470" s="6" t="s">
        <v>93</v>
      </c>
      <c r="H470" s="6" t="s">
        <v>94</v>
      </c>
      <c r="I470" s="6" t="s">
        <v>95</v>
      </c>
      <c r="J470" s="18" t="str">
        <f>"04333-0164"</f>
        <v>04333-0164</v>
      </c>
      <c r="K470" s="6"/>
      <c r="L470" s="6" t="s">
        <v>22</v>
      </c>
      <c r="M470" s="6" t="s">
        <v>96</v>
      </c>
      <c r="N470" s="7" t="s">
        <v>97</v>
      </c>
    </row>
    <row r="471" spans="1:14" x14ac:dyDescent="0.3">
      <c r="A471" s="18" t="s">
        <v>1848</v>
      </c>
      <c r="B471" s="18" t="s">
        <v>90</v>
      </c>
      <c r="C471" s="6"/>
      <c r="D471" s="6" t="s">
        <v>1849</v>
      </c>
      <c r="E471" s="6"/>
      <c r="F471" s="6" t="s">
        <v>1850</v>
      </c>
      <c r="G471" s="6"/>
      <c r="H471" s="6" t="s">
        <v>1851</v>
      </c>
      <c r="I471" s="6" t="s">
        <v>172</v>
      </c>
      <c r="J471" s="18" t="str">
        <f>"41143"</f>
        <v>41143</v>
      </c>
      <c r="K471" s="6"/>
      <c r="L471" s="6" t="s">
        <v>22</v>
      </c>
      <c r="M471" s="6" t="s">
        <v>1852</v>
      </c>
      <c r="N471" s="7"/>
    </row>
    <row r="472" spans="1:14" x14ac:dyDescent="0.3">
      <c r="A472" s="18" t="s">
        <v>316</v>
      </c>
      <c r="B472" s="18" t="s">
        <v>2292</v>
      </c>
      <c r="C472" s="6"/>
      <c r="D472" s="6" t="s">
        <v>137</v>
      </c>
      <c r="E472" s="6"/>
      <c r="F472" s="6" t="s">
        <v>2293</v>
      </c>
      <c r="G472" s="6"/>
      <c r="H472" s="6" t="s">
        <v>2294</v>
      </c>
      <c r="I472" s="6" t="s">
        <v>128</v>
      </c>
      <c r="J472" s="18" t="str">
        <f>"92056"</f>
        <v>92056</v>
      </c>
      <c r="K472" s="6"/>
      <c r="L472" s="6" t="s">
        <v>22</v>
      </c>
      <c r="M472" s="6" t="s">
        <v>2295</v>
      </c>
      <c r="N472" s="7" t="s">
        <v>2296</v>
      </c>
    </row>
    <row r="473" spans="1:14" x14ac:dyDescent="0.3">
      <c r="A473" s="18" t="s">
        <v>3265</v>
      </c>
      <c r="B473" s="18" t="s">
        <v>3266</v>
      </c>
      <c r="C473" s="6"/>
      <c r="D473" s="6" t="s">
        <v>3267</v>
      </c>
      <c r="E473" s="6" t="s">
        <v>2170</v>
      </c>
      <c r="F473" s="6" t="s">
        <v>3268</v>
      </c>
      <c r="G473" s="6" t="s">
        <v>292</v>
      </c>
      <c r="H473" s="6" t="s">
        <v>364</v>
      </c>
      <c r="I473" s="6" t="s">
        <v>172</v>
      </c>
      <c r="J473" s="18">
        <v>40601</v>
      </c>
      <c r="K473" s="6"/>
      <c r="L473" s="6" t="s">
        <v>22</v>
      </c>
      <c r="M473" s="6" t="s">
        <v>3269</v>
      </c>
      <c r="N473" s="7" t="s">
        <v>3270</v>
      </c>
    </row>
    <row r="474" spans="1:14" x14ac:dyDescent="0.3">
      <c r="A474" s="18" t="s">
        <v>848</v>
      </c>
      <c r="B474" s="18" t="s">
        <v>849</v>
      </c>
      <c r="C474" s="6"/>
      <c r="D474" s="6" t="s">
        <v>850</v>
      </c>
      <c r="E474" s="6" t="s">
        <v>851</v>
      </c>
      <c r="F474" s="6" t="s">
        <v>852</v>
      </c>
      <c r="G474" s="6"/>
      <c r="H474" s="6" t="s">
        <v>38</v>
      </c>
      <c r="I474" s="6" t="s">
        <v>39</v>
      </c>
      <c r="J474" s="18" t="str">
        <f>"20594"</f>
        <v>20594</v>
      </c>
      <c r="K474" s="6"/>
      <c r="L474" s="6" t="s">
        <v>22</v>
      </c>
      <c r="M474" s="6" t="s">
        <v>853</v>
      </c>
      <c r="N474" s="7" t="s">
        <v>854</v>
      </c>
    </row>
    <row r="475" spans="1:14" x14ac:dyDescent="0.3">
      <c r="A475" s="18" t="s">
        <v>1703</v>
      </c>
      <c r="B475" s="18" t="s">
        <v>1704</v>
      </c>
      <c r="C475" s="6"/>
      <c r="D475" s="6" t="s">
        <v>1705</v>
      </c>
      <c r="E475" s="6" t="s">
        <v>1706</v>
      </c>
      <c r="F475" s="6" t="s">
        <v>1707</v>
      </c>
      <c r="G475" s="6" t="s">
        <v>1708</v>
      </c>
      <c r="H475" s="6" t="s">
        <v>1709</v>
      </c>
      <c r="I475" s="6" t="s">
        <v>1217</v>
      </c>
      <c r="J475" s="18" t="str">
        <f>"35401"</f>
        <v>35401</v>
      </c>
      <c r="K475" s="6"/>
      <c r="L475" s="6" t="s">
        <v>22</v>
      </c>
      <c r="M475" s="6" t="s">
        <v>1710</v>
      </c>
      <c r="N475" s="7" t="s">
        <v>1711</v>
      </c>
    </row>
    <row r="476" spans="1:14" x14ac:dyDescent="0.3">
      <c r="A476" s="18" t="s">
        <v>631</v>
      </c>
      <c r="B476" s="18" t="s">
        <v>2789</v>
      </c>
      <c r="C476" s="6"/>
      <c r="D476" s="6" t="s">
        <v>1494</v>
      </c>
      <c r="E476" s="6" t="s">
        <v>862</v>
      </c>
      <c r="F476" s="6" t="s">
        <v>2790</v>
      </c>
      <c r="G476" s="6"/>
      <c r="H476" s="6" t="s">
        <v>1269</v>
      </c>
      <c r="I476" s="6" t="s">
        <v>1498</v>
      </c>
      <c r="J476" s="18" t="str">
        <f>"02865"</f>
        <v>02865</v>
      </c>
      <c r="K476" s="6"/>
      <c r="L476" s="6" t="s">
        <v>22</v>
      </c>
      <c r="M476" s="6" t="s">
        <v>2791</v>
      </c>
      <c r="N476" s="7" t="s">
        <v>2792</v>
      </c>
    </row>
    <row r="477" spans="1:14" x14ac:dyDescent="0.3">
      <c r="A477" s="18" t="s">
        <v>121</v>
      </c>
      <c r="B477" s="18" t="s">
        <v>122</v>
      </c>
      <c r="C477" s="6"/>
      <c r="D477" s="6" t="s">
        <v>123</v>
      </c>
      <c r="E477" s="6" t="s">
        <v>124</v>
      </c>
      <c r="F477" s="6" t="s">
        <v>125</v>
      </c>
      <c r="G477" s="6" t="s">
        <v>126</v>
      </c>
      <c r="H477" s="6" t="s">
        <v>127</v>
      </c>
      <c r="I477" s="6" t="s">
        <v>128</v>
      </c>
      <c r="J477" s="18" t="str">
        <f>"92618"</f>
        <v>92618</v>
      </c>
      <c r="K477" s="6"/>
      <c r="L477" s="6" t="s">
        <v>22</v>
      </c>
      <c r="M477" s="6" t="s">
        <v>129</v>
      </c>
      <c r="N477" s="7" t="s">
        <v>130</v>
      </c>
    </row>
    <row r="478" spans="1:14" x14ac:dyDescent="0.3">
      <c r="A478" s="18" t="s">
        <v>1160</v>
      </c>
      <c r="B478" s="18" t="s">
        <v>2027</v>
      </c>
      <c r="C478" s="6"/>
      <c r="D478" s="6" t="s">
        <v>1725</v>
      </c>
      <c r="E478" s="6" t="s">
        <v>2028</v>
      </c>
      <c r="F478" s="6" t="s">
        <v>2029</v>
      </c>
      <c r="G478" s="6"/>
      <c r="H478" s="6" t="s">
        <v>1225</v>
      </c>
      <c r="I478" s="6" t="s">
        <v>172</v>
      </c>
      <c r="J478" s="18" t="str">
        <f>"41502"</f>
        <v>41502</v>
      </c>
      <c r="K478" s="6"/>
      <c r="L478" s="6" t="s">
        <v>22</v>
      </c>
      <c r="M478" s="6" t="s">
        <v>2030</v>
      </c>
      <c r="N478" s="7" t="s">
        <v>2031</v>
      </c>
    </row>
    <row r="479" spans="1:14" x14ac:dyDescent="0.3">
      <c r="A479" s="18" t="s">
        <v>713</v>
      </c>
      <c r="B479" s="18" t="s">
        <v>714</v>
      </c>
      <c r="C479" s="6"/>
      <c r="D479" s="6" t="s">
        <v>715</v>
      </c>
      <c r="E479" s="6"/>
      <c r="F479" s="6" t="s">
        <v>716</v>
      </c>
      <c r="G479" s="6"/>
      <c r="H479" s="6" t="s">
        <v>717</v>
      </c>
      <c r="I479" s="6" t="s">
        <v>242</v>
      </c>
      <c r="J479" s="18" t="str">
        <f>"33330"</f>
        <v>33330</v>
      </c>
      <c r="K479" s="6"/>
      <c r="L479" s="6" t="s">
        <v>22</v>
      </c>
      <c r="M479" s="6" t="s">
        <v>718</v>
      </c>
      <c r="N479" s="7" t="s">
        <v>719</v>
      </c>
    </row>
    <row r="480" spans="1:14" x14ac:dyDescent="0.3">
      <c r="A480" s="18" t="s">
        <v>685</v>
      </c>
      <c r="B480" s="18" t="s">
        <v>1160</v>
      </c>
      <c r="C480" s="6"/>
      <c r="D480" s="6" t="s">
        <v>730</v>
      </c>
      <c r="E480" s="6" t="s">
        <v>1543</v>
      </c>
      <c r="F480" s="6" t="s">
        <v>1544</v>
      </c>
      <c r="G480" s="6" t="s">
        <v>170</v>
      </c>
      <c r="H480" s="6" t="s">
        <v>38</v>
      </c>
      <c r="I480" s="6" t="s">
        <v>39</v>
      </c>
      <c r="J480" s="18" t="str">
        <f>"20002"</f>
        <v>20002</v>
      </c>
      <c r="K480" s="6"/>
      <c r="L480" s="6" t="s">
        <v>22</v>
      </c>
      <c r="M480" s="6" t="s">
        <v>1545</v>
      </c>
      <c r="N480" s="7" t="s">
        <v>1546</v>
      </c>
    </row>
    <row r="481" spans="1:15" x14ac:dyDescent="0.3">
      <c r="A481" s="18" t="s">
        <v>1820</v>
      </c>
      <c r="B481" s="18" t="s">
        <v>2082</v>
      </c>
      <c r="C481" s="6" t="s">
        <v>2934</v>
      </c>
      <c r="D481" s="6" t="s">
        <v>2073</v>
      </c>
      <c r="E481" s="6" t="s">
        <v>2074</v>
      </c>
      <c r="F481" s="6" t="s">
        <v>2075</v>
      </c>
      <c r="G481" s="6" t="s">
        <v>170</v>
      </c>
      <c r="H481" s="6" t="s">
        <v>153</v>
      </c>
      <c r="I481" s="6" t="s">
        <v>154</v>
      </c>
      <c r="J481" s="18" t="str">
        <f>"46204"</f>
        <v>46204</v>
      </c>
      <c r="K481" s="6"/>
      <c r="L481" s="6" t="s">
        <v>22</v>
      </c>
      <c r="M481" s="6" t="s">
        <v>2083</v>
      </c>
      <c r="N481" s="7" t="s">
        <v>2084</v>
      </c>
    </row>
    <row r="482" spans="1:15" x14ac:dyDescent="0.3">
      <c r="A482" s="18" t="s">
        <v>1937</v>
      </c>
      <c r="B482" s="18" t="s">
        <v>2885</v>
      </c>
      <c r="C482" s="6"/>
      <c r="D482" s="6" t="s">
        <v>2886</v>
      </c>
      <c r="E482" s="6"/>
      <c r="F482" s="6" t="s">
        <v>2887</v>
      </c>
      <c r="G482" s="6"/>
      <c r="H482" s="6" t="s">
        <v>1234</v>
      </c>
      <c r="I482" s="6" t="s">
        <v>86</v>
      </c>
      <c r="J482" s="18" t="str">
        <f>"13202"</f>
        <v>13202</v>
      </c>
      <c r="K482" s="6"/>
      <c r="L482" s="6" t="s">
        <v>22</v>
      </c>
      <c r="M482" s="6" t="s">
        <v>2888</v>
      </c>
      <c r="N482" s="7" t="s">
        <v>2889</v>
      </c>
    </row>
    <row r="483" spans="1:15" x14ac:dyDescent="0.3">
      <c r="A483" s="18" t="s">
        <v>308</v>
      </c>
      <c r="B483" s="18" t="s">
        <v>2431</v>
      </c>
      <c r="C483" s="6"/>
      <c r="D483" s="6" t="s">
        <v>2418</v>
      </c>
      <c r="E483" s="6" t="s">
        <v>168</v>
      </c>
      <c r="F483" s="6" t="s">
        <v>2432</v>
      </c>
      <c r="G483" s="6"/>
      <c r="H483" s="6" t="s">
        <v>1314</v>
      </c>
      <c r="I483" s="6" t="s">
        <v>780</v>
      </c>
      <c r="J483" s="18" t="str">
        <f>"87504-1628"</f>
        <v>87504-1628</v>
      </c>
      <c r="K483" s="6"/>
      <c r="L483" s="6" t="s">
        <v>22</v>
      </c>
      <c r="M483" s="6" t="s">
        <v>2433</v>
      </c>
      <c r="N483" s="8" t="s">
        <v>3433</v>
      </c>
    </row>
    <row r="484" spans="1:15" x14ac:dyDescent="0.3">
      <c r="A484" s="18" t="s">
        <v>308</v>
      </c>
      <c r="B484" s="18" t="s">
        <v>1626</v>
      </c>
      <c r="C484" s="6"/>
      <c r="D484" s="6" t="s">
        <v>1627</v>
      </c>
      <c r="E484" s="6" t="s">
        <v>231</v>
      </c>
      <c r="F484" s="6" t="s">
        <v>1628</v>
      </c>
      <c r="G484" s="6"/>
      <c r="H484" s="6" t="s">
        <v>1629</v>
      </c>
      <c r="I484" s="6" t="s">
        <v>264</v>
      </c>
      <c r="J484" s="18" t="str">
        <f>"80537"</f>
        <v>80537</v>
      </c>
      <c r="K484" s="6"/>
      <c r="L484" s="6" t="s">
        <v>22</v>
      </c>
      <c r="M484" s="6" t="s">
        <v>1630</v>
      </c>
      <c r="N484" s="7" t="s">
        <v>1631</v>
      </c>
    </row>
    <row r="485" spans="1:15" x14ac:dyDescent="0.3">
      <c r="A485" s="18" t="s">
        <v>121</v>
      </c>
      <c r="B485" s="18" t="s">
        <v>3579</v>
      </c>
      <c r="C485" s="6"/>
      <c r="D485" s="6" t="s">
        <v>3071</v>
      </c>
      <c r="E485" s="6" t="s">
        <v>3580</v>
      </c>
      <c r="F485" s="6" t="s">
        <v>3581</v>
      </c>
      <c r="G485" s="6"/>
      <c r="H485" s="6" t="s">
        <v>3582</v>
      </c>
      <c r="I485" s="6" t="s">
        <v>242</v>
      </c>
      <c r="J485" s="18">
        <v>32808</v>
      </c>
      <c r="K485" s="6"/>
      <c r="L485" s="6" t="s">
        <v>22</v>
      </c>
      <c r="M485" s="6" t="s">
        <v>3583</v>
      </c>
      <c r="N485" s="8" t="s">
        <v>3584</v>
      </c>
    </row>
    <row r="486" spans="1:15" x14ac:dyDescent="0.3">
      <c r="A486" s="32" t="s">
        <v>287</v>
      </c>
      <c r="B486" s="18" t="s">
        <v>1501</v>
      </c>
      <c r="C486" s="6"/>
      <c r="D486" s="6" t="s">
        <v>1502</v>
      </c>
      <c r="E486" s="6" t="s">
        <v>407</v>
      </c>
      <c r="F486" s="6" t="s">
        <v>1503</v>
      </c>
      <c r="G486" s="6" t="s">
        <v>1504</v>
      </c>
      <c r="H486" s="6" t="s">
        <v>1505</v>
      </c>
      <c r="I486" s="6" t="s">
        <v>356</v>
      </c>
      <c r="J486" s="18" t="str">
        <f>"83707-1129"</f>
        <v>83707-1129</v>
      </c>
      <c r="K486" s="6"/>
      <c r="L486" s="6" t="s">
        <v>22</v>
      </c>
      <c r="M486" s="6" t="s">
        <v>1506</v>
      </c>
      <c r="N486" s="7" t="s">
        <v>1507</v>
      </c>
    </row>
    <row r="487" spans="1:15" x14ac:dyDescent="0.3">
      <c r="A487" s="33" t="s">
        <v>2917</v>
      </c>
      <c r="B487" s="26" t="s">
        <v>2918</v>
      </c>
      <c r="C487" s="5"/>
      <c r="D487" s="5" t="s">
        <v>2919</v>
      </c>
      <c r="E487" s="5" t="s">
        <v>634</v>
      </c>
      <c r="F487" s="5" t="s">
        <v>2920</v>
      </c>
      <c r="G487" s="5" t="s">
        <v>2921</v>
      </c>
      <c r="H487" s="5" t="s">
        <v>2559</v>
      </c>
      <c r="I487" s="5" t="s">
        <v>86</v>
      </c>
      <c r="J487" s="26" t="str">
        <f>"10028"</f>
        <v>10028</v>
      </c>
      <c r="K487" s="5"/>
      <c r="L487" s="5" t="s">
        <v>22</v>
      </c>
      <c r="M487" s="5" t="s">
        <v>2935</v>
      </c>
      <c r="N487" s="37" t="s">
        <v>2922</v>
      </c>
    </row>
    <row r="488" spans="1:15" x14ac:dyDescent="0.3">
      <c r="A488" s="33" t="s">
        <v>1634</v>
      </c>
      <c r="B488" s="26" t="s">
        <v>2897</v>
      </c>
      <c r="C488" s="5"/>
      <c r="D488" s="5" t="s">
        <v>2898</v>
      </c>
      <c r="E488" s="5" t="s">
        <v>2899</v>
      </c>
      <c r="F488" s="5" t="s">
        <v>1107</v>
      </c>
      <c r="G488" s="5" t="s">
        <v>2900</v>
      </c>
      <c r="H488" s="5" t="s">
        <v>2867</v>
      </c>
      <c r="I488" s="5" t="s">
        <v>39</v>
      </c>
      <c r="J488" s="26" t="str">
        <f>"20590"</f>
        <v>20590</v>
      </c>
      <c r="K488" s="5"/>
      <c r="L488" s="5" t="s">
        <v>22</v>
      </c>
      <c r="M488" s="5" t="s">
        <v>2901</v>
      </c>
      <c r="N488" s="37" t="s">
        <v>2902</v>
      </c>
    </row>
    <row r="489" spans="1:15" x14ac:dyDescent="0.3">
      <c r="A489" s="33" t="s">
        <v>588</v>
      </c>
      <c r="B489" s="26" t="s">
        <v>953</v>
      </c>
      <c r="C489" s="5"/>
      <c r="D489" s="5" t="s">
        <v>954</v>
      </c>
      <c r="E489" s="5" t="s">
        <v>534</v>
      </c>
      <c r="F489" s="5" t="s">
        <v>955</v>
      </c>
      <c r="G489" s="5"/>
      <c r="H489" s="5" t="s">
        <v>956</v>
      </c>
      <c r="I489" s="5" t="s">
        <v>172</v>
      </c>
      <c r="J489" s="26" t="str">
        <f>"42025"</f>
        <v>42025</v>
      </c>
      <c r="K489" s="5"/>
      <c r="L489" s="5" t="s">
        <v>22</v>
      </c>
      <c r="M489" s="5" t="s">
        <v>957</v>
      </c>
      <c r="N489" s="37" t="s">
        <v>958</v>
      </c>
    </row>
    <row r="490" spans="1:15" x14ac:dyDescent="0.3">
      <c r="A490" s="33" t="s">
        <v>2860</v>
      </c>
      <c r="B490" s="26" t="s">
        <v>2861</v>
      </c>
      <c r="C490" s="5"/>
      <c r="D490" s="5" t="s">
        <v>2853</v>
      </c>
      <c r="E490" s="5" t="s">
        <v>836</v>
      </c>
      <c r="F490" s="5" t="s">
        <v>2855</v>
      </c>
      <c r="G490" s="5" t="s">
        <v>2856</v>
      </c>
      <c r="H490" s="5" t="s">
        <v>2857</v>
      </c>
      <c r="I490" s="5" t="s">
        <v>280</v>
      </c>
      <c r="J490" s="26" t="str">
        <f>"98201"</f>
        <v>98201</v>
      </c>
      <c r="K490" s="5"/>
      <c r="L490" s="5" t="s">
        <v>22</v>
      </c>
      <c r="M490" s="5" t="s">
        <v>2858</v>
      </c>
      <c r="N490" s="37" t="s">
        <v>3331</v>
      </c>
    </row>
    <row r="491" spans="1:15" x14ac:dyDescent="0.3">
      <c r="A491" s="33" t="s">
        <v>1160</v>
      </c>
      <c r="B491" s="26" t="s">
        <v>1161</v>
      </c>
      <c r="C491" s="5"/>
      <c r="D491" s="5" t="s">
        <v>1156</v>
      </c>
      <c r="E491" s="5"/>
      <c r="F491" s="5" t="s">
        <v>1157</v>
      </c>
      <c r="G491" s="5"/>
      <c r="H491" s="5" t="s">
        <v>153</v>
      </c>
      <c r="I491" s="5" t="s">
        <v>154</v>
      </c>
      <c r="J491" s="26" t="str">
        <f>"46140"</f>
        <v>46140</v>
      </c>
      <c r="K491" s="5"/>
      <c r="L491" s="5" t="s">
        <v>22</v>
      </c>
      <c r="M491" s="5" t="s">
        <v>1158</v>
      </c>
      <c r="N491" s="37" t="s">
        <v>1159</v>
      </c>
    </row>
    <row r="492" spans="1:15" x14ac:dyDescent="0.3">
      <c r="A492" s="33" t="s">
        <v>3585</v>
      </c>
      <c r="B492" s="26" t="s">
        <v>3586</v>
      </c>
      <c r="C492" s="5"/>
      <c r="D492" s="5" t="s">
        <v>2480</v>
      </c>
      <c r="E492" s="5" t="s">
        <v>1352</v>
      </c>
      <c r="F492" s="5" t="s">
        <v>3587</v>
      </c>
      <c r="G492" s="5"/>
      <c r="H492" s="5" t="s">
        <v>2482</v>
      </c>
      <c r="I492" s="5" t="s">
        <v>30</v>
      </c>
      <c r="J492" s="26">
        <v>24060</v>
      </c>
      <c r="K492" s="5"/>
      <c r="L492" s="5" t="s">
        <v>22</v>
      </c>
      <c r="M492" s="5" t="s">
        <v>3588</v>
      </c>
      <c r="N492" s="48" t="s">
        <v>3589</v>
      </c>
    </row>
    <row r="493" spans="1:15" x14ac:dyDescent="0.3">
      <c r="A493" s="33" t="s">
        <v>287</v>
      </c>
      <c r="B493" s="26" t="s">
        <v>2116</v>
      </c>
      <c r="C493" s="5"/>
      <c r="D493" s="5" t="s">
        <v>2117</v>
      </c>
      <c r="E493" s="5"/>
      <c r="F493" s="5" t="s">
        <v>2118</v>
      </c>
      <c r="G493" s="5" t="s">
        <v>2119</v>
      </c>
      <c r="H493" s="5" t="s">
        <v>2120</v>
      </c>
      <c r="I493" s="5" t="s">
        <v>76</v>
      </c>
      <c r="J493" s="26" t="str">
        <f>"78612"</f>
        <v>78612</v>
      </c>
      <c r="K493" s="5"/>
      <c r="L493" s="5" t="s">
        <v>22</v>
      </c>
      <c r="M493" s="5" t="s">
        <v>2939</v>
      </c>
      <c r="N493" s="37" t="s">
        <v>2121</v>
      </c>
      <c r="O493" s="15"/>
    </row>
    <row r="494" spans="1:15" x14ac:dyDescent="0.3">
      <c r="A494" s="33" t="s">
        <v>489</v>
      </c>
      <c r="B494" s="26" t="s">
        <v>490</v>
      </c>
      <c r="C494" s="5"/>
      <c r="D494" s="5" t="s">
        <v>467</v>
      </c>
      <c r="E494" s="5" t="s">
        <v>491</v>
      </c>
      <c r="F494" s="5" t="s">
        <v>492</v>
      </c>
      <c r="G494" s="5" t="s">
        <v>493</v>
      </c>
      <c r="H494" s="5" t="s">
        <v>494</v>
      </c>
      <c r="I494" s="5" t="s">
        <v>118</v>
      </c>
      <c r="J494" s="26" t="str">
        <f>"48111-8955"</f>
        <v>48111-8955</v>
      </c>
      <c r="K494" s="5"/>
      <c r="L494" s="5" t="s">
        <v>22</v>
      </c>
      <c r="M494" s="5" t="s">
        <v>495</v>
      </c>
      <c r="N494" s="37" t="s">
        <v>496</v>
      </c>
    </row>
    <row r="495" spans="1:15" x14ac:dyDescent="0.3">
      <c r="A495" s="33" t="s">
        <v>2351</v>
      </c>
      <c r="B495" s="26" t="s">
        <v>2352</v>
      </c>
      <c r="C495" s="5"/>
      <c r="D495" s="5" t="s">
        <v>2353</v>
      </c>
      <c r="E495" s="5" t="s">
        <v>2218</v>
      </c>
      <c r="F495" s="5" t="s">
        <v>2177</v>
      </c>
      <c r="G495" s="5"/>
      <c r="H495" s="5" t="s">
        <v>647</v>
      </c>
      <c r="I495" s="5" t="s">
        <v>30</v>
      </c>
      <c r="J495" s="26" t="str">
        <f>"22314"</f>
        <v>22314</v>
      </c>
      <c r="K495" s="5"/>
      <c r="L495" s="5" t="s">
        <v>22</v>
      </c>
      <c r="M495" s="5" t="s">
        <v>2354</v>
      </c>
      <c r="N495" s="37" t="s">
        <v>2355</v>
      </c>
    </row>
    <row r="496" spans="1:15" x14ac:dyDescent="0.3">
      <c r="A496" s="32" t="s">
        <v>2870</v>
      </c>
      <c r="B496" s="18" t="s">
        <v>2871</v>
      </c>
      <c r="C496" s="6"/>
      <c r="D496" s="6" t="s">
        <v>2452</v>
      </c>
      <c r="E496" s="6" t="s">
        <v>2872</v>
      </c>
      <c r="F496" s="6" t="s">
        <v>2454</v>
      </c>
      <c r="G496" s="6" t="s">
        <v>2873</v>
      </c>
      <c r="H496" s="6" t="s">
        <v>2455</v>
      </c>
      <c r="I496" s="6" t="s">
        <v>137</v>
      </c>
      <c r="J496" s="18" t="str">
        <f>"00940-1289"</f>
        <v>00940-1289</v>
      </c>
      <c r="K496" s="6" t="s">
        <v>2874</v>
      </c>
      <c r="L496" s="6" t="s">
        <v>22</v>
      </c>
      <c r="M496" s="6" t="s">
        <v>2875</v>
      </c>
      <c r="N496" s="7" t="s">
        <v>2876</v>
      </c>
    </row>
    <row r="497" spans="1:14" x14ac:dyDescent="0.3">
      <c r="A497" s="33" t="s">
        <v>1991</v>
      </c>
      <c r="B497" s="26" t="s">
        <v>1992</v>
      </c>
      <c r="C497" s="5"/>
      <c r="D497" s="5" t="s">
        <v>1985</v>
      </c>
      <c r="E497" s="5" t="s">
        <v>1993</v>
      </c>
      <c r="F497" s="5" t="s">
        <v>1987</v>
      </c>
      <c r="G497" s="5"/>
      <c r="H497" s="5" t="s">
        <v>1988</v>
      </c>
      <c r="I497" s="5" t="s">
        <v>68</v>
      </c>
      <c r="J497" s="26" t="str">
        <f>"01752"</f>
        <v>01752</v>
      </c>
      <c r="K497" s="5"/>
      <c r="L497" s="5" t="s">
        <v>22</v>
      </c>
      <c r="M497" s="5" t="s">
        <v>1994</v>
      </c>
      <c r="N497" s="37" t="s">
        <v>1995</v>
      </c>
    </row>
    <row r="498" spans="1:14" x14ac:dyDescent="0.3">
      <c r="A498" s="33" t="s">
        <v>788</v>
      </c>
      <c r="B498" s="26" t="s">
        <v>789</v>
      </c>
      <c r="C498" s="5"/>
      <c r="D498" s="5" t="s">
        <v>790</v>
      </c>
      <c r="E498" s="5" t="s">
        <v>791</v>
      </c>
      <c r="F498" s="5" t="s">
        <v>792</v>
      </c>
      <c r="G498" s="5"/>
      <c r="H498" s="5" t="s">
        <v>38</v>
      </c>
      <c r="I498" s="5" t="s">
        <v>39</v>
      </c>
      <c r="J498" s="26" t="str">
        <f>"20548"</f>
        <v>20548</v>
      </c>
      <c r="K498" s="5"/>
      <c r="L498" s="5" t="s">
        <v>22</v>
      </c>
      <c r="M498" s="5" t="s">
        <v>793</v>
      </c>
      <c r="N498" s="37" t="s">
        <v>794</v>
      </c>
    </row>
    <row r="499" spans="1:14" x14ac:dyDescent="0.3">
      <c r="A499" s="33" t="s">
        <v>906</v>
      </c>
      <c r="B499" s="26" t="s">
        <v>14</v>
      </c>
      <c r="C499" s="5"/>
      <c r="D499" s="5" t="s">
        <v>870</v>
      </c>
      <c r="E499" s="5" t="s">
        <v>731</v>
      </c>
      <c r="F499" s="5" t="s">
        <v>887</v>
      </c>
      <c r="G499" s="5" t="s">
        <v>903</v>
      </c>
      <c r="H499" s="5" t="s">
        <v>874</v>
      </c>
      <c r="I499" s="5" t="s">
        <v>875</v>
      </c>
      <c r="J499" s="26" t="str">
        <f>"37243-0341"</f>
        <v>37243-0341</v>
      </c>
      <c r="K499" s="5"/>
      <c r="L499" s="5" t="s">
        <v>22</v>
      </c>
      <c r="M499" s="5" t="s">
        <v>907</v>
      </c>
      <c r="N499" s="37" t="s">
        <v>908</v>
      </c>
    </row>
    <row r="500" spans="1:14" x14ac:dyDescent="0.3">
      <c r="A500" s="33" t="s">
        <v>959</v>
      </c>
      <c r="B500" s="26" t="s">
        <v>1417</v>
      </c>
      <c r="C500" s="5"/>
      <c r="D500" s="5" t="s">
        <v>1418</v>
      </c>
      <c r="E500" s="5" t="s">
        <v>1419</v>
      </c>
      <c r="F500" s="5" t="s">
        <v>1420</v>
      </c>
      <c r="G500" s="5"/>
      <c r="H500" s="5" t="s">
        <v>364</v>
      </c>
      <c r="I500" s="5" t="s">
        <v>172</v>
      </c>
      <c r="J500" s="26" t="str">
        <f>"40601"</f>
        <v>40601</v>
      </c>
      <c r="K500" s="5"/>
      <c r="L500" s="5" t="s">
        <v>22</v>
      </c>
      <c r="M500" s="5" t="s">
        <v>1421</v>
      </c>
      <c r="N500" s="37" t="s">
        <v>1422</v>
      </c>
    </row>
    <row r="501" spans="1:14" x14ac:dyDescent="0.3">
      <c r="A501" s="33" t="s">
        <v>53</v>
      </c>
      <c r="B501" s="26" t="s">
        <v>1653</v>
      </c>
      <c r="C501" s="5"/>
      <c r="D501" s="5" t="s">
        <v>1654</v>
      </c>
      <c r="E501" s="5" t="s">
        <v>836</v>
      </c>
      <c r="F501" s="5" t="s">
        <v>1655</v>
      </c>
      <c r="G501" s="6"/>
      <c r="H501" s="5" t="s">
        <v>1656</v>
      </c>
      <c r="I501" s="5" t="s">
        <v>86</v>
      </c>
      <c r="J501" s="26" t="str">
        <f>"14094"</f>
        <v>14094</v>
      </c>
      <c r="K501" s="5"/>
      <c r="L501" s="5" t="s">
        <v>22</v>
      </c>
      <c r="M501" s="5" t="s">
        <v>1657</v>
      </c>
      <c r="N501" s="37" t="s">
        <v>1658</v>
      </c>
    </row>
    <row r="502" spans="1:14" x14ac:dyDescent="0.3">
      <c r="A502" s="33" t="s">
        <v>1065</v>
      </c>
      <c r="B502" s="26" t="s">
        <v>2445</v>
      </c>
      <c r="C502" s="5"/>
      <c r="D502" s="5" t="s">
        <v>1985</v>
      </c>
      <c r="E502" s="5" t="s">
        <v>2443</v>
      </c>
      <c r="F502" s="5" t="s">
        <v>1987</v>
      </c>
      <c r="G502" s="5"/>
      <c r="H502" s="5" t="s">
        <v>1988</v>
      </c>
      <c r="I502" s="5" t="s">
        <v>68</v>
      </c>
      <c r="J502" s="26" t="str">
        <f>"01752"</f>
        <v>01752</v>
      </c>
      <c r="K502" s="5"/>
      <c r="L502" s="5" t="s">
        <v>22</v>
      </c>
      <c r="M502" s="5" t="s">
        <v>1989</v>
      </c>
      <c r="N502" s="37" t="s">
        <v>2446</v>
      </c>
    </row>
    <row r="503" spans="1:14" x14ac:dyDescent="0.3">
      <c r="A503" s="33" t="s">
        <v>1436</v>
      </c>
      <c r="B503" s="26" t="s">
        <v>1437</v>
      </c>
      <c r="C503" s="5"/>
      <c r="D503" s="5" t="s">
        <v>1438</v>
      </c>
      <c r="E503" s="5" t="s">
        <v>1439</v>
      </c>
      <c r="F503" s="5" t="s">
        <v>1440</v>
      </c>
      <c r="G503" s="5" t="s">
        <v>1441</v>
      </c>
      <c r="H503" s="5" t="s">
        <v>1442</v>
      </c>
      <c r="I503" s="5" t="s">
        <v>1324</v>
      </c>
      <c r="J503" s="26" t="str">
        <f>"30334"</f>
        <v>30334</v>
      </c>
      <c r="K503" s="5"/>
      <c r="L503" s="5" t="s">
        <v>22</v>
      </c>
      <c r="M503" s="5" t="s">
        <v>1443</v>
      </c>
      <c r="N503" s="37" t="s">
        <v>1444</v>
      </c>
    </row>
    <row r="504" spans="1:14" x14ac:dyDescent="0.3">
      <c r="A504" s="33" t="s">
        <v>1906</v>
      </c>
      <c r="B504" s="26" t="s">
        <v>1437</v>
      </c>
      <c r="C504" s="5"/>
      <c r="D504" s="5" t="s">
        <v>1907</v>
      </c>
      <c r="E504" s="5" t="s">
        <v>862</v>
      </c>
      <c r="F504" s="5" t="s">
        <v>1908</v>
      </c>
      <c r="G504" s="5" t="s">
        <v>292</v>
      </c>
      <c r="H504" s="5" t="s">
        <v>845</v>
      </c>
      <c r="I504" s="5" t="s">
        <v>76</v>
      </c>
      <c r="J504" s="26" t="str">
        <f>"78752"</f>
        <v>78752</v>
      </c>
      <c r="K504" s="5"/>
      <c r="L504" s="5" t="s">
        <v>22</v>
      </c>
      <c r="M504" s="5" t="s">
        <v>1909</v>
      </c>
      <c r="N504" s="37" t="s">
        <v>1910</v>
      </c>
    </row>
    <row r="505" spans="1:14" x14ac:dyDescent="0.3">
      <c r="A505" s="33" t="s">
        <v>767</v>
      </c>
      <c r="B505" s="26" t="s">
        <v>2458</v>
      </c>
      <c r="C505" s="5"/>
      <c r="D505" s="5" t="s">
        <v>3314</v>
      </c>
      <c r="E505" s="5" t="s">
        <v>2459</v>
      </c>
      <c r="F505" s="5" t="s">
        <v>2460</v>
      </c>
      <c r="G505" s="5"/>
      <c r="H505" s="5" t="s">
        <v>2461</v>
      </c>
      <c r="I505" s="5" t="s">
        <v>326</v>
      </c>
      <c r="J505" s="26" t="str">
        <f>"27401"</f>
        <v>27401</v>
      </c>
      <c r="K505" s="5"/>
      <c r="L505" s="5" t="s">
        <v>22</v>
      </c>
      <c r="M505" s="5" t="s">
        <v>2462</v>
      </c>
      <c r="N505" s="37" t="s">
        <v>2463</v>
      </c>
    </row>
    <row r="506" spans="1:14" x14ac:dyDescent="0.3">
      <c r="A506" s="33" t="s">
        <v>1014</v>
      </c>
      <c r="B506" s="26" t="s">
        <v>1015</v>
      </c>
      <c r="C506" s="5"/>
      <c r="D506" s="5" t="s">
        <v>276</v>
      </c>
      <c r="E506" s="5" t="s">
        <v>1016</v>
      </c>
      <c r="F506" s="5" t="s">
        <v>278</v>
      </c>
      <c r="G506" s="5"/>
      <c r="H506" s="5" t="s">
        <v>279</v>
      </c>
      <c r="I506" s="5" t="s">
        <v>280</v>
      </c>
      <c r="J506" s="26" t="str">
        <f>"98504-0944"</f>
        <v>98504-0944</v>
      </c>
      <c r="K506" s="5"/>
      <c r="L506" s="5" t="s">
        <v>22</v>
      </c>
      <c r="M506" s="5" t="s">
        <v>1017</v>
      </c>
      <c r="N506" s="37" t="s">
        <v>1018</v>
      </c>
    </row>
    <row r="507" spans="1:14" x14ac:dyDescent="0.3">
      <c r="A507" s="32" t="s">
        <v>1200</v>
      </c>
      <c r="B507" s="18" t="s">
        <v>1201</v>
      </c>
      <c r="C507" s="6"/>
      <c r="D507" s="6" t="s">
        <v>1202</v>
      </c>
      <c r="E507" s="6" t="s">
        <v>1203</v>
      </c>
      <c r="F507" s="6" t="s">
        <v>1204</v>
      </c>
      <c r="G507" s="6" t="s">
        <v>1205</v>
      </c>
      <c r="H507" s="6" t="s">
        <v>1206</v>
      </c>
      <c r="I507" s="6" t="s">
        <v>326</v>
      </c>
      <c r="J507" s="18" t="str">
        <f>"27834"</f>
        <v>27834</v>
      </c>
      <c r="K507" s="6"/>
      <c r="L507" s="6" t="s">
        <v>22</v>
      </c>
      <c r="M507" s="6" t="s">
        <v>1207</v>
      </c>
      <c r="N507" s="8" t="s">
        <v>3434</v>
      </c>
    </row>
    <row r="508" spans="1:14" x14ac:dyDescent="0.3">
      <c r="A508" s="32" t="s">
        <v>855</v>
      </c>
      <c r="B508" s="18" t="s">
        <v>856</v>
      </c>
      <c r="C508" s="6"/>
      <c r="D508" s="6" t="s">
        <v>850</v>
      </c>
      <c r="E508" s="6" t="s">
        <v>857</v>
      </c>
      <c r="F508" s="6" t="s">
        <v>852</v>
      </c>
      <c r="G508" s="6"/>
      <c r="H508" s="6" t="s">
        <v>38</v>
      </c>
      <c r="I508" s="6" t="s">
        <v>39</v>
      </c>
      <c r="J508" s="18" t="str">
        <f>"20594"</f>
        <v>20594</v>
      </c>
      <c r="K508" s="6"/>
      <c r="L508" s="6" t="s">
        <v>22</v>
      </c>
      <c r="M508" s="5" t="s">
        <v>858</v>
      </c>
      <c r="N508" s="37" t="s">
        <v>859</v>
      </c>
    </row>
    <row r="509" spans="1:14" x14ac:dyDescent="0.3">
      <c r="A509" s="33" t="s">
        <v>1470</v>
      </c>
      <c r="B509" s="26" t="s">
        <v>1471</v>
      </c>
      <c r="C509" s="5"/>
      <c r="D509" s="5" t="s">
        <v>1472</v>
      </c>
      <c r="E509" s="5" t="s">
        <v>290</v>
      </c>
      <c r="F509" s="5" t="s">
        <v>1473</v>
      </c>
      <c r="G509" s="5"/>
      <c r="H509" s="5" t="s">
        <v>1474</v>
      </c>
      <c r="I509" s="5" t="s">
        <v>242</v>
      </c>
      <c r="J509" s="26" t="str">
        <f>"34203"</f>
        <v>34203</v>
      </c>
      <c r="K509" s="5"/>
      <c r="L509" s="5" t="s">
        <v>22</v>
      </c>
      <c r="M509" s="5" t="s">
        <v>1475</v>
      </c>
      <c r="N509" s="37" t="s">
        <v>1476</v>
      </c>
    </row>
    <row r="510" spans="1:14" x14ac:dyDescent="0.3">
      <c r="A510" s="33" t="s">
        <v>588</v>
      </c>
      <c r="B510" s="26" t="s">
        <v>589</v>
      </c>
      <c r="C510" s="5"/>
      <c r="D510" s="5" t="s">
        <v>590</v>
      </c>
      <c r="E510" s="5" t="s">
        <v>591</v>
      </c>
      <c r="F510" s="5" t="s">
        <v>592</v>
      </c>
      <c r="G510" s="5" t="s">
        <v>593</v>
      </c>
      <c r="H510" s="5" t="s">
        <v>594</v>
      </c>
      <c r="I510" s="5" t="s">
        <v>172</v>
      </c>
      <c r="J510" s="26" t="str">
        <f>"42701"</f>
        <v>42701</v>
      </c>
      <c r="K510" s="5"/>
      <c r="L510" s="5" t="s">
        <v>22</v>
      </c>
      <c r="M510" s="5" t="s">
        <v>595</v>
      </c>
      <c r="N510" s="37" t="s">
        <v>596</v>
      </c>
    </row>
    <row r="511" spans="1:14" x14ac:dyDescent="0.3">
      <c r="A511" s="33" t="s">
        <v>1937</v>
      </c>
      <c r="B511" s="26" t="s">
        <v>1938</v>
      </c>
      <c r="C511" s="5"/>
      <c r="D511" s="5" t="s">
        <v>1939</v>
      </c>
      <c r="E511" s="5" t="s">
        <v>1940</v>
      </c>
      <c r="F511" s="5" t="s">
        <v>1941</v>
      </c>
      <c r="G511" s="5"/>
      <c r="H511" s="5" t="s">
        <v>1942</v>
      </c>
      <c r="I511" s="5" t="s">
        <v>30</v>
      </c>
      <c r="J511" s="26" t="str">
        <f>"22968"</f>
        <v>22968</v>
      </c>
      <c r="K511" s="5"/>
      <c r="L511" s="5" t="s">
        <v>22</v>
      </c>
      <c r="M511" s="5" t="s">
        <v>1943</v>
      </c>
      <c r="N511" s="37" t="s">
        <v>1944</v>
      </c>
    </row>
    <row r="512" spans="1:14" x14ac:dyDescent="0.3">
      <c r="A512" s="33" t="s">
        <v>402</v>
      </c>
      <c r="B512" s="26" t="s">
        <v>2830</v>
      </c>
      <c r="C512" s="5"/>
      <c r="D512" s="5" t="s">
        <v>2831</v>
      </c>
      <c r="E512" s="5" t="s">
        <v>2832</v>
      </c>
      <c r="F512" s="5" t="s">
        <v>2833</v>
      </c>
      <c r="G512" s="5"/>
      <c r="H512" s="5" t="s">
        <v>2834</v>
      </c>
      <c r="I512" s="5" t="s">
        <v>301</v>
      </c>
      <c r="J512" s="26" t="str">
        <f>"19977"</f>
        <v>19977</v>
      </c>
      <c r="K512" s="5"/>
      <c r="L512" s="5" t="s">
        <v>22</v>
      </c>
      <c r="M512" s="5" t="s">
        <v>2835</v>
      </c>
      <c r="N512" s="37" t="s">
        <v>2836</v>
      </c>
    </row>
    <row r="513" spans="1:14" x14ac:dyDescent="0.3">
      <c r="A513" s="32" t="s">
        <v>1879</v>
      </c>
      <c r="B513" s="18" t="s">
        <v>1880</v>
      </c>
      <c r="C513" s="6"/>
      <c r="D513" s="6" t="s">
        <v>1881</v>
      </c>
      <c r="E513" s="6" t="s">
        <v>1882</v>
      </c>
      <c r="F513" s="6" t="s">
        <v>1883</v>
      </c>
      <c r="G513" s="6"/>
      <c r="H513" s="6" t="s">
        <v>1884</v>
      </c>
      <c r="I513" s="6" t="s">
        <v>172</v>
      </c>
      <c r="J513" s="18" t="str">
        <f>"40004"</f>
        <v>40004</v>
      </c>
      <c r="K513" s="6"/>
      <c r="L513" s="6" t="s">
        <v>22</v>
      </c>
      <c r="M513" s="6" t="s">
        <v>1885</v>
      </c>
      <c r="N513" s="7" t="s">
        <v>1886</v>
      </c>
    </row>
    <row r="514" spans="1:14" x14ac:dyDescent="0.3">
      <c r="A514" s="32" t="s">
        <v>404</v>
      </c>
      <c r="B514" s="18" t="s">
        <v>1964</v>
      </c>
      <c r="C514" s="6"/>
      <c r="D514" s="6" t="s">
        <v>1932</v>
      </c>
      <c r="E514" s="6" t="s">
        <v>534</v>
      </c>
      <c r="F514" s="6" t="s">
        <v>1965</v>
      </c>
      <c r="G514" s="6"/>
      <c r="H514" s="6" t="s">
        <v>1884</v>
      </c>
      <c r="I514" s="6" t="s">
        <v>172</v>
      </c>
      <c r="J514" s="18" t="str">
        <f>"40004"</f>
        <v>40004</v>
      </c>
      <c r="K514" s="6"/>
      <c r="L514" s="6" t="s">
        <v>22</v>
      </c>
      <c r="M514" s="6" t="s">
        <v>1885</v>
      </c>
      <c r="N514" s="8" t="s">
        <v>3435</v>
      </c>
    </row>
    <row r="515" spans="1:14" x14ac:dyDescent="0.3">
      <c r="A515" s="32" t="s">
        <v>287</v>
      </c>
      <c r="B515" s="18" t="s">
        <v>1282</v>
      </c>
      <c r="C515" s="6"/>
      <c r="D515" s="6" t="s">
        <v>1283</v>
      </c>
      <c r="E515" s="6" t="s">
        <v>1284</v>
      </c>
      <c r="F515" s="6" t="s">
        <v>1285</v>
      </c>
      <c r="G515" s="6"/>
      <c r="H515" s="6" t="s">
        <v>1286</v>
      </c>
      <c r="I515" s="6" t="s">
        <v>734</v>
      </c>
      <c r="J515" s="18" t="str">
        <f>"73020"</f>
        <v>73020</v>
      </c>
      <c r="K515" s="6"/>
      <c r="L515" s="6" t="s">
        <v>22</v>
      </c>
      <c r="M515" s="6" t="s">
        <v>1287</v>
      </c>
      <c r="N515" s="7" t="s">
        <v>1288</v>
      </c>
    </row>
    <row r="516" spans="1:14" x14ac:dyDescent="0.3">
      <c r="A516" s="33" t="s">
        <v>1825</v>
      </c>
      <c r="B516" s="26" t="s">
        <v>1826</v>
      </c>
      <c r="C516" s="5"/>
      <c r="D516" s="5" t="s">
        <v>1790</v>
      </c>
      <c r="E516" s="5" t="s">
        <v>1810</v>
      </c>
      <c r="F516" s="5" t="s">
        <v>1827</v>
      </c>
      <c r="G516" s="5"/>
      <c r="H516" s="5" t="s">
        <v>1793</v>
      </c>
      <c r="I516" s="5" t="s">
        <v>76</v>
      </c>
      <c r="J516" s="26" t="str">
        <f>"76712"</f>
        <v>76712</v>
      </c>
      <c r="K516" s="5"/>
      <c r="L516" s="5" t="s">
        <v>22</v>
      </c>
      <c r="M516" s="5" t="s">
        <v>1828</v>
      </c>
      <c r="N516" s="37" t="s">
        <v>1829</v>
      </c>
    </row>
    <row r="517" spans="1:14" x14ac:dyDescent="0.3">
      <c r="A517" s="32" t="s">
        <v>1246</v>
      </c>
      <c r="B517" s="18" t="s">
        <v>810</v>
      </c>
      <c r="C517" s="6"/>
      <c r="D517" s="6" t="s">
        <v>1247</v>
      </c>
      <c r="E517" s="6" t="s">
        <v>759</v>
      </c>
      <c r="F517" s="6" t="s">
        <v>1248</v>
      </c>
      <c r="G517" s="6"/>
      <c r="H517" s="6" t="s">
        <v>199</v>
      </c>
      <c r="I517" s="6" t="s">
        <v>200</v>
      </c>
      <c r="J517" s="18" t="str">
        <f>"72209"</f>
        <v>72209</v>
      </c>
      <c r="K517" s="6"/>
      <c r="L517" s="6" t="s">
        <v>22</v>
      </c>
      <c r="M517" s="6" t="s">
        <v>1249</v>
      </c>
      <c r="N517" s="7" t="s">
        <v>1250</v>
      </c>
    </row>
    <row r="518" spans="1:14" x14ac:dyDescent="0.3">
      <c r="A518" s="32" t="s">
        <v>991</v>
      </c>
      <c r="B518" s="18" t="s">
        <v>992</v>
      </c>
      <c r="C518" s="6"/>
      <c r="D518" s="6" t="s">
        <v>993</v>
      </c>
      <c r="E518" s="6" t="s">
        <v>994</v>
      </c>
      <c r="F518" s="6" t="s">
        <v>995</v>
      </c>
      <c r="G518" s="6"/>
      <c r="H518" s="6" t="s">
        <v>996</v>
      </c>
      <c r="I518" s="6" t="s">
        <v>997</v>
      </c>
      <c r="J518" s="18" t="str">
        <f>"65102"</f>
        <v>65102</v>
      </c>
      <c r="K518" s="6"/>
      <c r="L518" s="6" t="s">
        <v>22</v>
      </c>
      <c r="M518" s="6" t="s">
        <v>998</v>
      </c>
      <c r="N518" s="38" t="s">
        <v>999</v>
      </c>
    </row>
    <row r="519" spans="1:14" x14ac:dyDescent="0.3">
      <c r="A519" s="33" t="s">
        <v>2216</v>
      </c>
      <c r="B519" s="26" t="s">
        <v>2217</v>
      </c>
      <c r="C519" s="5"/>
      <c r="D519" s="5" t="s">
        <v>827</v>
      </c>
      <c r="E519" s="5" t="s">
        <v>2218</v>
      </c>
      <c r="F519" s="5" t="s">
        <v>1107</v>
      </c>
      <c r="G519" s="5"/>
      <c r="H519" s="5" t="s">
        <v>38</v>
      </c>
      <c r="I519" s="5" t="s">
        <v>39</v>
      </c>
      <c r="J519" s="26" t="str">
        <f>"20590"</f>
        <v>20590</v>
      </c>
      <c r="K519" s="5"/>
      <c r="L519" s="6" t="s">
        <v>22</v>
      </c>
      <c r="M519" s="5" t="s">
        <v>2219</v>
      </c>
      <c r="N519" s="37" t="s">
        <v>2220</v>
      </c>
    </row>
    <row r="520" spans="1:14" x14ac:dyDescent="0.3">
      <c r="A520" s="18" t="s">
        <v>2534</v>
      </c>
      <c r="B520" s="18" t="s">
        <v>2206</v>
      </c>
      <c r="C520" s="6"/>
      <c r="D520" s="6" t="s">
        <v>2535</v>
      </c>
      <c r="E520" s="6" t="s">
        <v>2170</v>
      </c>
      <c r="F520" s="6" t="s">
        <v>2536</v>
      </c>
      <c r="G520" s="6" t="s">
        <v>2036</v>
      </c>
      <c r="H520" s="6" t="s">
        <v>874</v>
      </c>
      <c r="I520" s="6" t="s">
        <v>875</v>
      </c>
      <c r="J520" s="18" t="str">
        <f>"37243-0890"</f>
        <v>37243-0890</v>
      </c>
      <c r="K520" s="6"/>
      <c r="L520" s="5" t="s">
        <v>22</v>
      </c>
      <c r="M520" s="6" t="s">
        <v>2537</v>
      </c>
      <c r="N520" s="7" t="s">
        <v>2538</v>
      </c>
    </row>
    <row r="521" spans="1:14" x14ac:dyDescent="0.3">
      <c r="A521" s="34" t="s">
        <v>2205</v>
      </c>
      <c r="B521" s="35" t="s">
        <v>2206</v>
      </c>
      <c r="C521" s="1" t="s">
        <v>2207</v>
      </c>
      <c r="D521" s="1" t="s">
        <v>2208</v>
      </c>
      <c r="E521" s="1" t="s">
        <v>270</v>
      </c>
      <c r="F521" s="1" t="s">
        <v>2209</v>
      </c>
      <c r="G521" s="1" t="s">
        <v>2210</v>
      </c>
      <c r="H521" s="1" t="s">
        <v>1355</v>
      </c>
      <c r="I521" s="1" t="s">
        <v>1356</v>
      </c>
      <c r="J521" s="35" t="str">
        <f>"70896"</f>
        <v>70896</v>
      </c>
      <c r="K521" s="6"/>
      <c r="L521" s="5" t="s">
        <v>22</v>
      </c>
      <c r="M521" s="1" t="s">
        <v>2211</v>
      </c>
      <c r="N521" s="39" t="s">
        <v>2212</v>
      </c>
    </row>
    <row r="522" spans="1:14" x14ac:dyDescent="0.3">
      <c r="A522" s="18" t="s">
        <v>113</v>
      </c>
      <c r="B522" s="18" t="s">
        <v>2213</v>
      </c>
      <c r="C522" s="6"/>
      <c r="D522" s="6" t="s">
        <v>2201</v>
      </c>
      <c r="E522" s="6"/>
      <c r="F522" s="6" t="s">
        <v>2202</v>
      </c>
      <c r="G522" s="6" t="s">
        <v>170</v>
      </c>
      <c r="H522" s="6" t="s">
        <v>38</v>
      </c>
      <c r="I522" s="6" t="s">
        <v>39</v>
      </c>
      <c r="J522" s="18" t="str">
        <f>"20001"</f>
        <v>20001</v>
      </c>
      <c r="K522" s="6"/>
      <c r="L522" s="5" t="s">
        <v>22</v>
      </c>
      <c r="M522" s="6" t="s">
        <v>2214</v>
      </c>
      <c r="N522" s="7" t="s">
        <v>2215</v>
      </c>
    </row>
    <row r="523" spans="1:14" x14ac:dyDescent="0.3">
      <c r="A523" s="18" t="s">
        <v>1027</v>
      </c>
      <c r="B523" s="18" t="s">
        <v>1599</v>
      </c>
      <c r="C523" s="6"/>
      <c r="D523" s="6" t="s">
        <v>1600</v>
      </c>
      <c r="E523" s="6" t="s">
        <v>1165</v>
      </c>
      <c r="F523" s="6" t="s">
        <v>1601</v>
      </c>
      <c r="G523" s="6"/>
      <c r="H523" s="6" t="s">
        <v>1505</v>
      </c>
      <c r="I523" s="6" t="s">
        <v>356</v>
      </c>
      <c r="J523" s="18" t="str">
        <f>"83704"</f>
        <v>83704</v>
      </c>
      <c r="K523" s="6"/>
      <c r="L523" s="6" t="s">
        <v>22</v>
      </c>
      <c r="M523" s="6" t="s">
        <v>1602</v>
      </c>
      <c r="N523" s="7" t="s">
        <v>1603</v>
      </c>
    </row>
    <row r="524" spans="1:14" x14ac:dyDescent="0.3">
      <c r="A524" s="18" t="s">
        <v>1059</v>
      </c>
      <c r="B524" s="18" t="s">
        <v>343</v>
      </c>
      <c r="C524" s="6"/>
      <c r="D524" s="6" t="s">
        <v>1060</v>
      </c>
      <c r="E524" s="6"/>
      <c r="F524" s="6" t="s">
        <v>1061</v>
      </c>
      <c r="G524" s="6"/>
      <c r="H524" s="6" t="s">
        <v>1062</v>
      </c>
      <c r="I524" s="6" t="s">
        <v>172</v>
      </c>
      <c r="J524" s="18" t="str">
        <f>"42718"</f>
        <v>42718</v>
      </c>
      <c r="K524" s="6"/>
      <c r="L524" s="6" t="s">
        <v>22</v>
      </c>
      <c r="M524" s="6" t="s">
        <v>1063</v>
      </c>
      <c r="N524" s="7" t="s">
        <v>1064</v>
      </c>
    </row>
    <row r="525" spans="1:14" x14ac:dyDescent="0.3">
      <c r="A525" s="18" t="s">
        <v>1945</v>
      </c>
      <c r="B525" s="18" t="s">
        <v>343</v>
      </c>
      <c r="C525" s="6"/>
      <c r="D525" s="6" t="s">
        <v>1946</v>
      </c>
      <c r="E525" s="6" t="s">
        <v>1947</v>
      </c>
      <c r="F525" s="6" t="s">
        <v>1948</v>
      </c>
      <c r="G525" s="6"/>
      <c r="H525" s="6" t="s">
        <v>1949</v>
      </c>
      <c r="I525" s="6" t="s">
        <v>462</v>
      </c>
      <c r="J525" s="18" t="str">
        <f>"29634-0931"</f>
        <v>29634-0931</v>
      </c>
      <c r="K525" s="6"/>
      <c r="L525" s="6" t="s">
        <v>22</v>
      </c>
      <c r="M525" s="6" t="s">
        <v>1950</v>
      </c>
      <c r="N525" s="7" t="s">
        <v>1951</v>
      </c>
    </row>
    <row r="526" spans="1:14" x14ac:dyDescent="0.3">
      <c r="A526" s="18" t="s">
        <v>342</v>
      </c>
      <c r="B526" s="18" t="s">
        <v>343</v>
      </c>
      <c r="C526" s="6"/>
      <c r="D526" s="6" t="s">
        <v>344</v>
      </c>
      <c r="E526" s="6" t="s">
        <v>206</v>
      </c>
      <c r="F526" s="6" t="s">
        <v>345</v>
      </c>
      <c r="G526" s="6"/>
      <c r="H526" s="6" t="s">
        <v>346</v>
      </c>
      <c r="I526" s="6" t="s">
        <v>280</v>
      </c>
      <c r="J526" s="18" t="str">
        <f>"98604"</f>
        <v>98604</v>
      </c>
      <c r="K526" s="6"/>
      <c r="L526" s="6" t="s">
        <v>22</v>
      </c>
      <c r="M526" s="6" t="s">
        <v>340</v>
      </c>
      <c r="N526" s="7" t="s">
        <v>347</v>
      </c>
    </row>
    <row r="527" spans="1:14" x14ac:dyDescent="0.3">
      <c r="A527" s="18" t="s">
        <v>1666</v>
      </c>
      <c r="B527" s="18" t="s">
        <v>1667</v>
      </c>
      <c r="C527" s="6"/>
      <c r="D527" s="6" t="s">
        <v>1668</v>
      </c>
      <c r="E527" s="6" t="s">
        <v>1669</v>
      </c>
      <c r="F527" s="6" t="s">
        <v>1670</v>
      </c>
      <c r="G527" s="6" t="s">
        <v>1671</v>
      </c>
      <c r="H527" s="6" t="s">
        <v>1672</v>
      </c>
      <c r="I527" s="6" t="s">
        <v>1673</v>
      </c>
      <c r="J527" s="18" t="str">
        <f>"66614"</f>
        <v>66614</v>
      </c>
      <c r="K527" s="6"/>
      <c r="L527" s="6" t="s">
        <v>22</v>
      </c>
      <c r="M527" s="6" t="s">
        <v>1674</v>
      </c>
      <c r="N527" s="7" t="s">
        <v>1675</v>
      </c>
    </row>
    <row r="528" spans="1:14" x14ac:dyDescent="0.3">
      <c r="A528" s="18" t="s">
        <v>588</v>
      </c>
      <c r="B528" s="18" t="s">
        <v>1667</v>
      </c>
      <c r="C528" s="6"/>
      <c r="D528" s="6" t="s">
        <v>433</v>
      </c>
      <c r="E528" s="6" t="s">
        <v>1803</v>
      </c>
      <c r="F528" s="6" t="s">
        <v>1756</v>
      </c>
      <c r="G528" s="6" t="s">
        <v>1757</v>
      </c>
      <c r="H528" s="6" t="s">
        <v>153</v>
      </c>
      <c r="I528" s="6" t="s">
        <v>154</v>
      </c>
      <c r="J528" s="18" t="str">
        <f>"46204"</f>
        <v>46204</v>
      </c>
      <c r="K528" s="6"/>
      <c r="L528" s="5" t="s">
        <v>22</v>
      </c>
      <c r="M528" s="6" t="s">
        <v>1758</v>
      </c>
      <c r="N528" s="7" t="s">
        <v>1804</v>
      </c>
    </row>
    <row r="529" spans="1:14" x14ac:dyDescent="0.3">
      <c r="A529" s="18" t="s">
        <v>104</v>
      </c>
      <c r="B529" s="18" t="s">
        <v>1862</v>
      </c>
      <c r="C529" s="6"/>
      <c r="D529" s="6" t="s">
        <v>1863</v>
      </c>
      <c r="E529" s="6" t="s">
        <v>231</v>
      </c>
      <c r="F529" s="6" t="s">
        <v>3315</v>
      </c>
      <c r="G529" s="6"/>
      <c r="H529" s="6" t="s">
        <v>1234</v>
      </c>
      <c r="I529" s="6" t="s">
        <v>86</v>
      </c>
      <c r="J529" s="18" t="str">
        <f>"13219"</f>
        <v>13219</v>
      </c>
      <c r="K529" s="6"/>
      <c r="L529" s="5" t="s">
        <v>22</v>
      </c>
      <c r="M529" s="6" t="s">
        <v>1864</v>
      </c>
      <c r="N529" s="7" t="s">
        <v>1865</v>
      </c>
    </row>
    <row r="530" spans="1:14" x14ac:dyDescent="0.3">
      <c r="A530" s="18" t="s">
        <v>2336</v>
      </c>
      <c r="B530" s="18" t="s">
        <v>2337</v>
      </c>
      <c r="C530" s="6"/>
      <c r="D530" s="6" t="s">
        <v>2317</v>
      </c>
      <c r="E530" s="6" t="s">
        <v>2327</v>
      </c>
      <c r="F530" s="6" t="s">
        <v>2318</v>
      </c>
      <c r="G530" s="6"/>
      <c r="H530" s="6" t="s">
        <v>364</v>
      </c>
      <c r="I530" s="6" t="s">
        <v>172</v>
      </c>
      <c r="J530" s="18" t="str">
        <f>"40601"</f>
        <v>40601</v>
      </c>
      <c r="K530" s="6"/>
      <c r="L530" s="5" t="s">
        <v>22</v>
      </c>
      <c r="M530" s="6" t="s">
        <v>2323</v>
      </c>
      <c r="N530" s="7" t="s">
        <v>2338</v>
      </c>
    </row>
    <row r="531" spans="1:14" x14ac:dyDescent="0.3">
      <c r="A531" s="18" t="s">
        <v>1208</v>
      </c>
      <c r="B531" s="18" t="s">
        <v>1209</v>
      </c>
      <c r="C531" s="6"/>
      <c r="D531" s="6" t="s">
        <v>1202</v>
      </c>
      <c r="E531" s="6" t="s">
        <v>1210</v>
      </c>
      <c r="F531" s="6" t="s">
        <v>1204</v>
      </c>
      <c r="G531" s="6" t="s">
        <v>1205</v>
      </c>
      <c r="H531" s="6" t="s">
        <v>1206</v>
      </c>
      <c r="I531" s="6" t="s">
        <v>326</v>
      </c>
      <c r="J531" s="18" t="str">
        <f>"27834"</f>
        <v>27834</v>
      </c>
      <c r="K531" s="6"/>
      <c r="L531" s="5" t="s">
        <v>22</v>
      </c>
      <c r="M531" s="6" t="s">
        <v>1211</v>
      </c>
      <c r="N531" s="7" t="s">
        <v>1212</v>
      </c>
    </row>
    <row r="532" spans="1:14" x14ac:dyDescent="0.3">
      <c r="A532" s="18" t="s">
        <v>691</v>
      </c>
      <c r="B532" s="18" t="s">
        <v>692</v>
      </c>
      <c r="C532" s="6"/>
      <c r="D532" s="6" t="s">
        <v>693</v>
      </c>
      <c r="E532" s="6"/>
      <c r="F532" s="6" t="s">
        <v>694</v>
      </c>
      <c r="G532" s="6"/>
      <c r="H532" s="6" t="s">
        <v>695</v>
      </c>
      <c r="I532" s="6" t="s">
        <v>49</v>
      </c>
      <c r="J532" s="18" t="str">
        <f>"08330"</f>
        <v>08330</v>
      </c>
      <c r="K532" s="6"/>
      <c r="L532" s="6" t="s">
        <v>22</v>
      </c>
      <c r="M532" s="6" t="s">
        <v>696</v>
      </c>
      <c r="N532" s="7" t="s">
        <v>697</v>
      </c>
    </row>
    <row r="533" spans="1:14" x14ac:dyDescent="0.3">
      <c r="A533" s="18" t="s">
        <v>1160</v>
      </c>
      <c r="B533" s="18" t="s">
        <v>2539</v>
      </c>
      <c r="C533" s="6"/>
      <c r="D533" s="6" t="s">
        <v>2535</v>
      </c>
      <c r="E533" s="6" t="s">
        <v>2170</v>
      </c>
      <c r="F533" s="6" t="s">
        <v>2536</v>
      </c>
      <c r="G533" s="6" t="s">
        <v>2036</v>
      </c>
      <c r="H533" s="6" t="s">
        <v>874</v>
      </c>
      <c r="I533" s="6" t="s">
        <v>875</v>
      </c>
      <c r="J533" s="18" t="str">
        <f>"37243-0890"</f>
        <v>37243-0890</v>
      </c>
      <c r="K533" s="6"/>
      <c r="L533" s="6" t="s">
        <v>22</v>
      </c>
      <c r="M533" s="6" t="s">
        <v>2537</v>
      </c>
      <c r="N533" s="7" t="s">
        <v>2540</v>
      </c>
    </row>
    <row r="534" spans="1:14" x14ac:dyDescent="0.3">
      <c r="A534" s="18" t="s">
        <v>1776</v>
      </c>
      <c r="B534" s="18" t="s">
        <v>1777</v>
      </c>
      <c r="C534" s="6"/>
      <c r="D534" s="6" t="s">
        <v>1778</v>
      </c>
      <c r="E534" s="6" t="s">
        <v>270</v>
      </c>
      <c r="F534" s="6" t="s">
        <v>1779</v>
      </c>
      <c r="G534" s="6"/>
      <c r="H534" s="6" t="s">
        <v>1780</v>
      </c>
      <c r="I534" s="6" t="s">
        <v>1498</v>
      </c>
      <c r="J534" s="18" t="str">
        <f>"02837"</f>
        <v>02837</v>
      </c>
      <c r="K534" s="6"/>
      <c r="L534" s="6" t="s">
        <v>22</v>
      </c>
      <c r="M534" s="6" t="s">
        <v>1781</v>
      </c>
      <c r="N534" s="7" t="s">
        <v>1782</v>
      </c>
    </row>
    <row r="535" spans="1:14" x14ac:dyDescent="0.3">
      <c r="A535" s="18" t="s">
        <v>1359</v>
      </c>
      <c r="B535" s="18" t="s">
        <v>1789</v>
      </c>
      <c r="C535" s="6"/>
      <c r="D535" s="6" t="s">
        <v>1790</v>
      </c>
      <c r="E535" s="6" t="s">
        <v>1791</v>
      </c>
      <c r="F535" s="6" t="s">
        <v>1792</v>
      </c>
      <c r="G535" s="6"/>
      <c r="H535" s="6" t="s">
        <v>1793</v>
      </c>
      <c r="I535" s="6" t="s">
        <v>76</v>
      </c>
      <c r="J535" s="18" t="str">
        <f>"76708"</f>
        <v>76708</v>
      </c>
      <c r="K535" s="6"/>
      <c r="L535" s="5" t="s">
        <v>22</v>
      </c>
      <c r="M535" s="6" t="s">
        <v>1794</v>
      </c>
      <c r="N535" s="7" t="s">
        <v>1795</v>
      </c>
    </row>
    <row r="536" spans="1:14" x14ac:dyDescent="0.3">
      <c r="A536" s="18" t="s">
        <v>3288</v>
      </c>
      <c r="B536" s="18" t="s">
        <v>3289</v>
      </c>
      <c r="C536" s="6"/>
      <c r="D536" s="6" t="s">
        <v>2866</v>
      </c>
      <c r="E536" s="6" t="s">
        <v>3290</v>
      </c>
      <c r="F536" s="6" t="s">
        <v>852</v>
      </c>
      <c r="G536" s="6"/>
      <c r="H536" s="6" t="s">
        <v>38</v>
      </c>
      <c r="I536" s="6" t="s">
        <v>39</v>
      </c>
      <c r="J536" s="18">
        <v>20594</v>
      </c>
      <c r="K536" s="6"/>
      <c r="L536" s="6" t="s">
        <v>22</v>
      </c>
      <c r="M536" s="6" t="s">
        <v>3291</v>
      </c>
      <c r="N536" s="8" t="s">
        <v>3292</v>
      </c>
    </row>
    <row r="537" spans="1:14" x14ac:dyDescent="0.3">
      <c r="A537" s="18" t="s">
        <v>1763</v>
      </c>
      <c r="B537" s="18" t="s">
        <v>1764</v>
      </c>
      <c r="C537" s="6"/>
      <c r="D537" s="6" t="s">
        <v>433</v>
      </c>
      <c r="E537" s="6" t="s">
        <v>1765</v>
      </c>
      <c r="F537" s="6" t="s">
        <v>1756</v>
      </c>
      <c r="G537" s="6" t="s">
        <v>1757</v>
      </c>
      <c r="H537" s="6" t="s">
        <v>153</v>
      </c>
      <c r="I537" s="6" t="s">
        <v>154</v>
      </c>
      <c r="J537" s="18" t="str">
        <f>"46204"</f>
        <v>46204</v>
      </c>
      <c r="K537" s="6"/>
      <c r="L537" s="6" t="s">
        <v>22</v>
      </c>
      <c r="M537" s="6" t="s">
        <v>1766</v>
      </c>
      <c r="N537" s="7" t="s">
        <v>1767</v>
      </c>
    </row>
    <row r="538" spans="1:14" x14ac:dyDescent="0.3">
      <c r="A538" s="18" t="s">
        <v>2504</v>
      </c>
      <c r="B538" s="18" t="s">
        <v>2685</v>
      </c>
      <c r="C538" s="6"/>
      <c r="D538" s="6" t="s">
        <v>2686</v>
      </c>
      <c r="E538" s="6" t="s">
        <v>311</v>
      </c>
      <c r="F538" s="6" t="s">
        <v>2687</v>
      </c>
      <c r="G538" s="6" t="s">
        <v>2688</v>
      </c>
      <c r="H538" s="6" t="s">
        <v>2672</v>
      </c>
      <c r="I538" s="6" t="s">
        <v>172</v>
      </c>
      <c r="J538" s="18" t="str">
        <f>"42101"</f>
        <v>42101</v>
      </c>
      <c r="K538" s="6"/>
      <c r="L538" s="5" t="s">
        <v>22</v>
      </c>
      <c r="M538" s="6" t="s">
        <v>2689</v>
      </c>
      <c r="N538" s="7" t="s">
        <v>2690</v>
      </c>
    </row>
    <row r="539" spans="1:14" x14ac:dyDescent="0.3">
      <c r="A539" s="18" t="s">
        <v>308</v>
      </c>
      <c r="B539" s="18" t="s">
        <v>1019</v>
      </c>
      <c r="C539" s="6"/>
      <c r="D539" s="6" t="s">
        <v>1020</v>
      </c>
      <c r="E539" s="6" t="s">
        <v>1021</v>
      </c>
      <c r="F539" s="6" t="s">
        <v>1022</v>
      </c>
      <c r="G539" s="6" t="s">
        <v>1023</v>
      </c>
      <c r="H539" s="6" t="s">
        <v>1024</v>
      </c>
      <c r="I539" s="6" t="s">
        <v>76</v>
      </c>
      <c r="J539" s="18" t="str">
        <f>"77843-3135"</f>
        <v>77843-3135</v>
      </c>
      <c r="K539" s="6"/>
      <c r="L539" s="5" t="s">
        <v>22</v>
      </c>
      <c r="M539" s="6" t="s">
        <v>1025</v>
      </c>
      <c r="N539" s="7" t="s">
        <v>1026</v>
      </c>
    </row>
    <row r="540" spans="1:14" x14ac:dyDescent="0.3">
      <c r="A540" s="18" t="s">
        <v>1577</v>
      </c>
      <c r="B540" s="18" t="s">
        <v>2039</v>
      </c>
      <c r="C540" s="6"/>
      <c r="D540" s="6" t="s">
        <v>2040</v>
      </c>
      <c r="E540" s="6" t="s">
        <v>2041</v>
      </c>
      <c r="F540" s="6" t="s">
        <v>2042</v>
      </c>
      <c r="G540" s="6" t="s">
        <v>2043</v>
      </c>
      <c r="H540" s="6" t="s">
        <v>1442</v>
      </c>
      <c r="I540" s="6" t="s">
        <v>1324</v>
      </c>
      <c r="J540" s="18" t="str">
        <f>"30303"</f>
        <v>30303</v>
      </c>
      <c r="K540" s="6"/>
      <c r="L540" s="5" t="s">
        <v>22</v>
      </c>
      <c r="M540" s="6" t="s">
        <v>2044</v>
      </c>
      <c r="N540" s="7" t="s">
        <v>2045</v>
      </c>
    </row>
    <row r="541" spans="1:14" x14ac:dyDescent="0.3">
      <c r="A541" s="18" t="s">
        <v>1220</v>
      </c>
      <c r="B541" s="18" t="s">
        <v>1221</v>
      </c>
      <c r="C541" s="6"/>
      <c r="D541" s="6" t="s">
        <v>1222</v>
      </c>
      <c r="E541" s="6" t="s">
        <v>1223</v>
      </c>
      <c r="F541" s="6" t="s">
        <v>1224</v>
      </c>
      <c r="G541" s="6"/>
      <c r="H541" s="6" t="s">
        <v>1225</v>
      </c>
      <c r="I541" s="6" t="s">
        <v>172</v>
      </c>
      <c r="J541" s="18" t="str">
        <f>"41501"</f>
        <v>41501</v>
      </c>
      <c r="K541" s="6"/>
      <c r="L541" s="5" t="s">
        <v>22</v>
      </c>
      <c r="M541" s="6" t="s">
        <v>1226</v>
      </c>
      <c r="N541" s="7" t="s">
        <v>1227</v>
      </c>
    </row>
    <row r="542" spans="1:14" x14ac:dyDescent="0.3">
      <c r="A542" s="18" t="s">
        <v>914</v>
      </c>
      <c r="B542" s="18" t="s">
        <v>1461</v>
      </c>
      <c r="C542" s="6"/>
      <c r="D542" s="6" t="s">
        <v>1769</v>
      </c>
      <c r="E542" s="6" t="s">
        <v>1774</v>
      </c>
      <c r="F542" s="6" t="s">
        <v>1771</v>
      </c>
      <c r="G542" s="6"/>
      <c r="H542" s="6" t="s">
        <v>364</v>
      </c>
      <c r="I542" s="6" t="s">
        <v>172</v>
      </c>
      <c r="J542" s="18" t="str">
        <f>"40601"</f>
        <v>40601</v>
      </c>
      <c r="K542" s="6"/>
      <c r="L542" s="6" t="s">
        <v>22</v>
      </c>
      <c r="M542" s="6" t="s">
        <v>1772</v>
      </c>
      <c r="N542" s="7" t="s">
        <v>1775</v>
      </c>
    </row>
    <row r="543" spans="1:14" x14ac:dyDescent="0.3">
      <c r="A543" s="18" t="s">
        <v>2199</v>
      </c>
      <c r="B543" s="18" t="s">
        <v>2200</v>
      </c>
      <c r="C543" s="6"/>
      <c r="D543" s="6" t="s">
        <v>2201</v>
      </c>
      <c r="E543" s="6" t="s">
        <v>731</v>
      </c>
      <c r="F543" s="6" t="s">
        <v>2202</v>
      </c>
      <c r="G543" s="6" t="s">
        <v>170</v>
      </c>
      <c r="H543" s="6" t="s">
        <v>38</v>
      </c>
      <c r="I543" s="6" t="s">
        <v>39</v>
      </c>
      <c r="J543" s="18" t="str">
        <f>"20001"</f>
        <v>20001</v>
      </c>
      <c r="K543" s="6"/>
      <c r="L543" s="6" t="s">
        <v>22</v>
      </c>
      <c r="M543" s="6" t="s">
        <v>2203</v>
      </c>
      <c r="N543" s="7" t="s">
        <v>2204</v>
      </c>
    </row>
    <row r="544" spans="1:14" x14ac:dyDescent="0.3">
      <c r="A544" s="18" t="s">
        <v>1364</v>
      </c>
      <c r="B544" s="18" t="s">
        <v>2380</v>
      </c>
      <c r="C544" s="6"/>
      <c r="D544" s="6" t="s">
        <v>2381</v>
      </c>
      <c r="E544" s="6" t="s">
        <v>177</v>
      </c>
      <c r="F544" s="6" t="s">
        <v>2382</v>
      </c>
      <c r="G544" s="6"/>
      <c r="H544" s="6" t="s">
        <v>1722</v>
      </c>
      <c r="I544" s="6" t="s">
        <v>280</v>
      </c>
      <c r="J544" s="18" t="str">
        <f>"98499"</f>
        <v>98499</v>
      </c>
      <c r="K544" s="6"/>
      <c r="L544" s="6" t="s">
        <v>22</v>
      </c>
      <c r="M544" s="6" t="s">
        <v>2383</v>
      </c>
      <c r="N544" s="7" t="s">
        <v>2384</v>
      </c>
    </row>
    <row r="545" spans="1:14" x14ac:dyDescent="0.3">
      <c r="A545" s="18" t="s">
        <v>1265</v>
      </c>
      <c r="B545" s="18" t="s">
        <v>1266</v>
      </c>
      <c r="C545" s="6"/>
      <c r="D545" s="6" t="s">
        <v>1267</v>
      </c>
      <c r="E545" s="6" t="s">
        <v>759</v>
      </c>
      <c r="F545" s="6" t="s">
        <v>1268</v>
      </c>
      <c r="G545" s="6"/>
      <c r="H545" s="6" t="s">
        <v>1269</v>
      </c>
      <c r="I545" s="6" t="s">
        <v>1270</v>
      </c>
      <c r="J545" s="18" t="str">
        <f>"68509-4612"</f>
        <v>68509-4612</v>
      </c>
      <c r="K545" s="6"/>
      <c r="L545" s="1" t="s">
        <v>22</v>
      </c>
      <c r="M545" s="6" t="s">
        <v>1271</v>
      </c>
      <c r="N545" s="7" t="s">
        <v>1272</v>
      </c>
    </row>
    <row r="546" spans="1:14" x14ac:dyDescent="0.3">
      <c r="N546" s="40"/>
    </row>
  </sheetData>
  <sortState ref="A2:N564">
    <sortCondition ref="B2:B564"/>
  </sortState>
  <hyperlinks>
    <hyperlink ref="N138" r:id="rId1"/>
    <hyperlink ref="N396" r:id="rId2"/>
    <hyperlink ref="N536" r:id="rId3"/>
    <hyperlink ref="N206" r:id="rId4"/>
    <hyperlink ref="N263" r:id="rId5"/>
    <hyperlink ref="N27" r:id="rId6"/>
    <hyperlink ref="N418" r:id="rId7"/>
    <hyperlink ref="N97" r:id="rId8"/>
    <hyperlink ref="N182" r:id="rId9"/>
    <hyperlink ref="N84" r:id="rId10"/>
    <hyperlink ref="N170" r:id="rId11"/>
    <hyperlink ref="N237" r:id="rId12"/>
    <hyperlink ref="N293" r:id="rId13"/>
    <hyperlink ref="N332" r:id="rId14"/>
    <hyperlink ref="N253" r:id="rId15" display="mailto:erjohnson2@ncdot.gov"/>
    <hyperlink ref="N275" r:id="rId16"/>
    <hyperlink ref="N455" r:id="rId17"/>
    <hyperlink ref="N83" r:id="rId18"/>
    <hyperlink ref="N456" r:id="rId19"/>
    <hyperlink ref="N129" r:id="rId20"/>
    <hyperlink ref="N199" r:id="rId21"/>
    <hyperlink ref="N443" r:id="rId22"/>
    <hyperlink ref="N322" r:id="rId23"/>
    <hyperlink ref="N375" r:id="rId24"/>
    <hyperlink ref="N368" r:id="rId25"/>
    <hyperlink ref="N166" r:id="rId26"/>
    <hyperlink ref="N228" r:id="rId27"/>
    <hyperlink ref="N121" r:id="rId28"/>
    <hyperlink ref="N442" r:id="rId29"/>
    <hyperlink ref="N370" r:id="rId30"/>
    <hyperlink ref="N218" r:id="rId31"/>
    <hyperlink ref="N51" r:id="rId32"/>
    <hyperlink ref="N147" r:id="rId33"/>
    <hyperlink ref="N483" r:id="rId34"/>
    <hyperlink ref="N507" r:id="rId35"/>
    <hyperlink ref="N514" r:id="rId36"/>
    <hyperlink ref="N157" r:id="rId37"/>
    <hyperlink ref="N124" r:id="rId38"/>
    <hyperlink ref="N436" r:id="rId39"/>
    <hyperlink ref="N260" r:id="rId40"/>
    <hyperlink ref="N8" r:id="rId41"/>
    <hyperlink ref="N231" r:id="rId42"/>
    <hyperlink ref="N353" r:id="rId43"/>
    <hyperlink ref="N240" r:id="rId44"/>
    <hyperlink ref="N243" r:id="rId45"/>
    <hyperlink ref="N137" r:id="rId46"/>
    <hyperlink ref="N463" r:id="rId47"/>
    <hyperlink ref="N11" r:id="rId48"/>
    <hyperlink ref="N4" r:id="rId49"/>
    <hyperlink ref="N151" r:id="rId50"/>
    <hyperlink ref="N38" r:id="rId51"/>
    <hyperlink ref="N156" r:id="rId52"/>
    <hyperlink ref="N150" r:id="rId53"/>
    <hyperlink ref="N311" r:id="rId54"/>
    <hyperlink ref="N383" r:id="rId55"/>
    <hyperlink ref="N413" r:id="rId56"/>
    <hyperlink ref="N457" r:id="rId57"/>
    <hyperlink ref="N459" r:id="rId58" display="mailto:rsmith@vtti.vt.edu"/>
    <hyperlink ref="N485" r:id="rId59"/>
    <hyperlink ref="N492" r:id="rId60"/>
  </hyperlinks>
  <printOptions gridLines="1"/>
  <pageMargins left="0.7" right="0.7" top="0.75" bottom="0.75" header="0.3" footer="0.3"/>
  <pageSetup paperSize="5" scale="60" fitToHeight="0" orientation="landscape" r:id="rId61"/>
  <headerFooter>
    <oddHeader>&amp;C&amp;14GHSA 2017 Annual Meeting
&amp;"-,Bold" Attendees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tabSelected="1" topLeftCell="A42" zoomScaleNormal="100" workbookViewId="0">
      <selection activeCell="A68" sqref="A68"/>
    </sheetView>
  </sheetViews>
  <sheetFormatPr defaultRowHeight="14.4" x14ac:dyDescent="0.3"/>
  <cols>
    <col min="1" max="1" width="14" customWidth="1"/>
    <col min="2" max="2" width="14.5546875" customWidth="1"/>
    <col min="3" max="3" width="6" customWidth="1"/>
    <col min="4" max="4" width="25.109375" customWidth="1"/>
    <col min="5" max="5" width="20.33203125" customWidth="1"/>
    <col min="6" max="6" width="20.88671875" customWidth="1"/>
    <col min="8" max="8" width="15" customWidth="1"/>
    <col min="9" max="9" width="5.6640625" customWidth="1"/>
    <col min="10" max="10" width="12" customWidth="1"/>
    <col min="12" max="12" width="7.5546875" customWidth="1"/>
    <col min="13" max="13" width="12" customWidth="1"/>
    <col min="14" max="14" width="35.44140625" customWidth="1"/>
  </cols>
  <sheetData>
    <row r="1" spans="1:14" ht="15.75" thickBot="1" x14ac:dyDescent="0.3">
      <c r="A1" s="4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4" ht="15" x14ac:dyDescent="0.25">
      <c r="A2" s="10" t="s">
        <v>3116</v>
      </c>
      <c r="B2" s="11" t="s">
        <v>3205</v>
      </c>
      <c r="C2" s="11"/>
      <c r="D2" s="11" t="s">
        <v>3206</v>
      </c>
      <c r="E2" s="11" t="s">
        <v>3207</v>
      </c>
      <c r="F2" s="11" t="s">
        <v>3208</v>
      </c>
      <c r="G2" s="11"/>
      <c r="H2" s="11" t="s">
        <v>3209</v>
      </c>
      <c r="I2" s="11" t="s">
        <v>137</v>
      </c>
      <c r="J2" s="11" t="str">
        <f>"M9L 1X9"</f>
        <v>M9L 1X9</v>
      </c>
      <c r="K2" s="11" t="s">
        <v>1564</v>
      </c>
      <c r="L2" s="11" t="s">
        <v>1565</v>
      </c>
      <c r="M2" s="11" t="s">
        <v>3210</v>
      </c>
      <c r="N2" s="42" t="s">
        <v>3211</v>
      </c>
    </row>
    <row r="3" spans="1:14" ht="15" x14ac:dyDescent="0.25">
      <c r="A3" s="12" t="s">
        <v>3027</v>
      </c>
      <c r="B3" s="6" t="s">
        <v>3028</v>
      </c>
      <c r="C3" s="6"/>
      <c r="D3" s="6" t="s">
        <v>633</v>
      </c>
      <c r="E3" s="6" t="s">
        <v>3029</v>
      </c>
      <c r="F3" s="6" t="s">
        <v>635</v>
      </c>
      <c r="G3" s="6"/>
      <c r="H3" s="6" t="s">
        <v>636</v>
      </c>
      <c r="I3" s="6" t="s">
        <v>128</v>
      </c>
      <c r="J3" s="6" t="str">
        <f>"95758"</f>
        <v>95758</v>
      </c>
      <c r="K3" s="6"/>
      <c r="L3" s="6" t="s">
        <v>22</v>
      </c>
      <c r="M3" s="6" t="s">
        <v>3030</v>
      </c>
      <c r="N3" s="38" t="s">
        <v>2505</v>
      </c>
    </row>
    <row r="4" spans="1:14" ht="15" x14ac:dyDescent="0.25">
      <c r="A4" s="12" t="s">
        <v>627</v>
      </c>
      <c r="B4" s="6" t="s">
        <v>3009</v>
      </c>
      <c r="C4" s="6"/>
      <c r="D4" s="6" t="s">
        <v>3010</v>
      </c>
      <c r="E4" s="6" t="s">
        <v>3011</v>
      </c>
      <c r="F4" s="6" t="s">
        <v>3012</v>
      </c>
      <c r="G4" s="6" t="s">
        <v>2688</v>
      </c>
      <c r="H4" s="6" t="s">
        <v>3013</v>
      </c>
      <c r="I4" s="6" t="s">
        <v>118</v>
      </c>
      <c r="J4" s="6" t="str">
        <f>"48864"</f>
        <v>48864</v>
      </c>
      <c r="K4" s="6"/>
      <c r="L4" s="6" t="s">
        <v>22</v>
      </c>
      <c r="M4" s="6" t="s">
        <v>3014</v>
      </c>
      <c r="N4" s="38" t="s">
        <v>3015</v>
      </c>
    </row>
    <row r="5" spans="1:14" ht="15" x14ac:dyDescent="0.25">
      <c r="A5" s="9" t="s">
        <v>1364</v>
      </c>
      <c r="B5" s="5" t="s">
        <v>1105</v>
      </c>
      <c r="C5" s="5"/>
      <c r="D5" s="5" t="s">
        <v>403</v>
      </c>
      <c r="E5" s="5" t="s">
        <v>2263</v>
      </c>
      <c r="F5" s="5" t="s">
        <v>2264</v>
      </c>
      <c r="G5" s="5"/>
      <c r="H5" s="5" t="s">
        <v>2160</v>
      </c>
      <c r="I5" s="5" t="s">
        <v>128</v>
      </c>
      <c r="J5" s="5" t="str">
        <f>"90025"</f>
        <v>90025</v>
      </c>
      <c r="K5" s="5"/>
      <c r="L5" s="5" t="s">
        <v>22</v>
      </c>
      <c r="M5" s="5" t="s">
        <v>3002</v>
      </c>
      <c r="N5" s="24" t="s">
        <v>3430</v>
      </c>
    </row>
    <row r="6" spans="1:14" ht="15" x14ac:dyDescent="0.25">
      <c r="A6" s="12" t="s">
        <v>1265</v>
      </c>
      <c r="B6" s="6" t="s">
        <v>3098</v>
      </c>
      <c r="C6" s="6"/>
      <c r="D6" s="6" t="s">
        <v>3099</v>
      </c>
      <c r="E6" s="6" t="s">
        <v>3100</v>
      </c>
      <c r="F6" s="6" t="s">
        <v>3101</v>
      </c>
      <c r="G6" s="6"/>
      <c r="H6" s="6" t="s">
        <v>3102</v>
      </c>
      <c r="I6" s="6" t="s">
        <v>703</v>
      </c>
      <c r="J6" s="6" t="str">
        <f>"06029"</f>
        <v>06029</v>
      </c>
      <c r="K6" s="6"/>
      <c r="L6" s="6" t="s">
        <v>22</v>
      </c>
      <c r="M6" s="6" t="s">
        <v>3103</v>
      </c>
      <c r="N6" s="38" t="s">
        <v>3104</v>
      </c>
    </row>
    <row r="7" spans="1:14" ht="15" x14ac:dyDescent="0.25">
      <c r="A7" s="9" t="s">
        <v>2325</v>
      </c>
      <c r="B7" s="5" t="s">
        <v>2947</v>
      </c>
      <c r="C7" s="5"/>
      <c r="D7" s="5" t="s">
        <v>2948</v>
      </c>
      <c r="E7" s="5" t="s">
        <v>2949</v>
      </c>
      <c r="F7" s="5" t="s">
        <v>2950</v>
      </c>
      <c r="G7" s="5" t="s">
        <v>2951</v>
      </c>
      <c r="H7" s="5" t="s">
        <v>874</v>
      </c>
      <c r="I7" s="5" t="s">
        <v>875</v>
      </c>
      <c r="J7" s="5" t="str">
        <f>"37211"</f>
        <v>37211</v>
      </c>
      <c r="K7" s="5"/>
      <c r="L7" s="5" t="s">
        <v>22</v>
      </c>
      <c r="M7" s="5" t="s">
        <v>2952</v>
      </c>
      <c r="N7" s="43" t="s">
        <v>2953</v>
      </c>
    </row>
    <row r="8" spans="1:14" ht="15" x14ac:dyDescent="0.25">
      <c r="A8" s="9" t="s">
        <v>218</v>
      </c>
      <c r="B8" s="5" t="s">
        <v>2954</v>
      </c>
      <c r="C8" s="5"/>
      <c r="D8" s="5" t="s">
        <v>2948</v>
      </c>
      <c r="E8" s="5" t="s">
        <v>2955</v>
      </c>
      <c r="F8" s="5" t="s">
        <v>2950</v>
      </c>
      <c r="G8" s="5" t="s">
        <v>2951</v>
      </c>
      <c r="H8" s="5" t="s">
        <v>874</v>
      </c>
      <c r="I8" s="5" t="s">
        <v>875</v>
      </c>
      <c r="J8" s="5" t="str">
        <f>"37211"</f>
        <v>37211</v>
      </c>
      <c r="K8" s="5"/>
      <c r="L8" s="5" t="s">
        <v>22</v>
      </c>
      <c r="M8" s="5" t="s">
        <v>2952</v>
      </c>
      <c r="N8" s="43" t="s">
        <v>2956</v>
      </c>
    </row>
    <row r="9" spans="1:14" ht="15" x14ac:dyDescent="0.25">
      <c r="A9" s="9" t="s">
        <v>1409</v>
      </c>
      <c r="B9" s="5" t="s">
        <v>2957</v>
      </c>
      <c r="C9" s="5"/>
      <c r="D9" s="5" t="s">
        <v>2948</v>
      </c>
      <c r="E9" s="5" t="s">
        <v>2958</v>
      </c>
      <c r="F9" s="5" t="s">
        <v>2950</v>
      </c>
      <c r="G9" s="5" t="s">
        <v>2951</v>
      </c>
      <c r="H9" s="5" t="s">
        <v>874</v>
      </c>
      <c r="I9" s="5" t="s">
        <v>875</v>
      </c>
      <c r="J9" s="5" t="str">
        <f>"37211"</f>
        <v>37211</v>
      </c>
      <c r="K9" s="5"/>
      <c r="L9" s="5" t="s">
        <v>22</v>
      </c>
      <c r="M9" s="5" t="s">
        <v>2952</v>
      </c>
      <c r="N9" s="43" t="s">
        <v>2959</v>
      </c>
    </row>
    <row r="10" spans="1:14" ht="15" x14ac:dyDescent="0.25">
      <c r="A10" s="9" t="s">
        <v>2998</v>
      </c>
      <c r="B10" s="5" t="s">
        <v>2999</v>
      </c>
      <c r="C10" s="5"/>
      <c r="D10" s="5" t="s">
        <v>369</v>
      </c>
      <c r="E10" s="5" t="s">
        <v>370</v>
      </c>
      <c r="F10" s="5" t="s">
        <v>371</v>
      </c>
      <c r="G10" s="5"/>
      <c r="H10" s="5" t="s">
        <v>372</v>
      </c>
      <c r="I10" s="5" t="s">
        <v>373</v>
      </c>
      <c r="J10" s="5" t="str">
        <f>"55446-4601"</f>
        <v>55446-4601</v>
      </c>
      <c r="K10" s="5"/>
      <c r="L10" s="5" t="s">
        <v>22</v>
      </c>
      <c r="M10" s="5" t="s">
        <v>3000</v>
      </c>
      <c r="N10" s="46" t="s">
        <v>3001</v>
      </c>
    </row>
    <row r="11" spans="1:14" ht="15" x14ac:dyDescent="0.25">
      <c r="A11" s="9" t="s">
        <v>2180</v>
      </c>
      <c r="B11" s="5" t="s">
        <v>3231</v>
      </c>
      <c r="C11" s="5"/>
      <c r="D11" s="5" t="s">
        <v>2716</v>
      </c>
      <c r="E11" s="5" t="s">
        <v>2717</v>
      </c>
      <c r="F11" s="5" t="s">
        <v>2718</v>
      </c>
      <c r="G11" s="5" t="s">
        <v>2719</v>
      </c>
      <c r="H11" s="5" t="s">
        <v>544</v>
      </c>
      <c r="I11" s="5" t="s">
        <v>30</v>
      </c>
      <c r="J11" s="5" t="str">
        <f>"22203-4181"</f>
        <v>22203-4181</v>
      </c>
      <c r="K11" s="5"/>
      <c r="L11" s="5" t="s">
        <v>22</v>
      </c>
      <c r="M11" s="5" t="s">
        <v>2720</v>
      </c>
      <c r="N11" s="46" t="s">
        <v>2721</v>
      </c>
    </row>
    <row r="12" spans="1:14" ht="15" x14ac:dyDescent="0.25">
      <c r="A12" s="9" t="s">
        <v>3440</v>
      </c>
      <c r="B12" s="5" t="s">
        <v>3441</v>
      </c>
      <c r="C12" s="5"/>
      <c r="D12" s="5" t="s">
        <v>1635</v>
      </c>
      <c r="E12" s="5" t="s">
        <v>3442</v>
      </c>
      <c r="F12" s="5" t="s">
        <v>1650</v>
      </c>
      <c r="G12" s="5" t="s">
        <v>1651</v>
      </c>
      <c r="H12" s="5" t="s">
        <v>1638</v>
      </c>
      <c r="I12" s="5" t="s">
        <v>486</v>
      </c>
      <c r="J12" s="5" t="str">
        <f>"85007"</f>
        <v>85007</v>
      </c>
      <c r="K12" s="5"/>
      <c r="L12" s="5" t="s">
        <v>22</v>
      </c>
      <c r="M12" s="5" t="s">
        <v>1639</v>
      </c>
      <c r="N12" s="45" t="s">
        <v>3443</v>
      </c>
    </row>
    <row r="13" spans="1:14" ht="15" x14ac:dyDescent="0.25">
      <c r="A13" s="12" t="s">
        <v>413</v>
      </c>
      <c r="B13" s="6" t="s">
        <v>3190</v>
      </c>
      <c r="C13" s="6"/>
      <c r="D13" s="6" t="s">
        <v>2201</v>
      </c>
      <c r="E13" s="6" t="s">
        <v>3191</v>
      </c>
      <c r="F13" s="6" t="s">
        <v>2202</v>
      </c>
      <c r="G13" s="6" t="s">
        <v>170</v>
      </c>
      <c r="H13" s="6" t="s">
        <v>38</v>
      </c>
      <c r="I13" s="6" t="s">
        <v>39</v>
      </c>
      <c r="J13" s="6" t="str">
        <f>"20001"</f>
        <v>20001</v>
      </c>
      <c r="K13" s="6"/>
      <c r="L13" s="6" t="s">
        <v>22</v>
      </c>
      <c r="M13" s="6" t="s">
        <v>2938</v>
      </c>
      <c r="N13" s="47" t="s">
        <v>3192</v>
      </c>
    </row>
    <row r="14" spans="1:14" ht="15" x14ac:dyDescent="0.25">
      <c r="A14" s="12" t="s">
        <v>2970</v>
      </c>
      <c r="B14" s="6" t="s">
        <v>2971</v>
      </c>
      <c r="C14" s="6"/>
      <c r="D14" s="6" t="s">
        <v>2520</v>
      </c>
      <c r="E14" s="6" t="s">
        <v>290</v>
      </c>
      <c r="F14" s="6" t="s">
        <v>2522</v>
      </c>
      <c r="G14" s="6"/>
      <c r="H14" s="6" t="s">
        <v>2523</v>
      </c>
      <c r="I14" s="6" t="s">
        <v>356</v>
      </c>
      <c r="J14" s="6" t="str">
        <f>"83669"</f>
        <v>83669</v>
      </c>
      <c r="K14" s="6"/>
      <c r="L14" s="6" t="s">
        <v>22</v>
      </c>
      <c r="M14" s="6" t="s">
        <v>2972</v>
      </c>
      <c r="N14" s="47" t="s">
        <v>2973</v>
      </c>
    </row>
    <row r="15" spans="1:14" ht="15" x14ac:dyDescent="0.25">
      <c r="A15" s="12" t="s">
        <v>658</v>
      </c>
      <c r="B15" s="6" t="s">
        <v>3146</v>
      </c>
      <c r="C15" s="6"/>
      <c r="D15" s="6" t="s">
        <v>3147</v>
      </c>
      <c r="E15" s="6" t="s">
        <v>3148</v>
      </c>
      <c r="F15" s="6" t="s">
        <v>3149</v>
      </c>
      <c r="G15" s="6" t="s">
        <v>3150</v>
      </c>
      <c r="H15" s="6" t="s">
        <v>1442</v>
      </c>
      <c r="I15" s="6" t="s">
        <v>1324</v>
      </c>
      <c r="J15" s="6" t="str">
        <f>"30341"</f>
        <v>30341</v>
      </c>
      <c r="K15" s="6"/>
      <c r="L15" s="6" t="s">
        <v>22</v>
      </c>
      <c r="M15" s="6" t="s">
        <v>3151</v>
      </c>
      <c r="N15" s="38" t="s">
        <v>3152</v>
      </c>
    </row>
    <row r="16" spans="1:14" ht="15" x14ac:dyDescent="0.25">
      <c r="A16" s="12" t="s">
        <v>505</v>
      </c>
      <c r="B16" s="6" t="s">
        <v>3378</v>
      </c>
      <c r="C16" s="6"/>
      <c r="D16" s="6" t="s">
        <v>3167</v>
      </c>
      <c r="E16" s="6" t="s">
        <v>3379</v>
      </c>
      <c r="F16" s="6" t="s">
        <v>3168</v>
      </c>
      <c r="G16" s="6"/>
      <c r="H16" s="6" t="s">
        <v>1167</v>
      </c>
      <c r="I16" s="6" t="s">
        <v>172</v>
      </c>
      <c r="J16" s="6" t="str">
        <f>"42303"</f>
        <v>42303</v>
      </c>
      <c r="K16" s="6"/>
      <c r="L16" s="6" t="s">
        <v>22</v>
      </c>
      <c r="M16" s="6" t="s">
        <v>3380</v>
      </c>
      <c r="N16" s="19" t="s">
        <v>3381</v>
      </c>
    </row>
    <row r="17" spans="1:14" ht="15" x14ac:dyDescent="0.25">
      <c r="A17" s="12" t="s">
        <v>121</v>
      </c>
      <c r="B17" s="6" t="s">
        <v>737</v>
      </c>
      <c r="C17" s="6"/>
      <c r="D17" s="6" t="s">
        <v>2117</v>
      </c>
      <c r="E17" s="6" t="s">
        <v>270</v>
      </c>
      <c r="F17" s="6" t="s">
        <v>3212</v>
      </c>
      <c r="G17" s="6"/>
      <c r="H17" s="6" t="s">
        <v>1834</v>
      </c>
      <c r="I17" s="6" t="s">
        <v>30</v>
      </c>
      <c r="J17" s="6" t="str">
        <f>"22152-5172"</f>
        <v>22152-5172</v>
      </c>
      <c r="K17" s="6"/>
      <c r="L17" s="6" t="s">
        <v>22</v>
      </c>
      <c r="M17" s="6" t="s">
        <v>3213</v>
      </c>
      <c r="N17" s="38" t="s">
        <v>3214</v>
      </c>
    </row>
    <row r="18" spans="1:14" ht="15" x14ac:dyDescent="0.25">
      <c r="A18" s="12" t="s">
        <v>1273</v>
      </c>
      <c r="B18" s="6" t="s">
        <v>729</v>
      </c>
      <c r="C18" s="6" t="s">
        <v>2207</v>
      </c>
      <c r="D18" s="6" t="s">
        <v>2992</v>
      </c>
      <c r="E18" s="6" t="s">
        <v>2993</v>
      </c>
      <c r="F18" s="6" t="s">
        <v>2994</v>
      </c>
      <c r="G18" s="6"/>
      <c r="H18" s="6" t="s">
        <v>2995</v>
      </c>
      <c r="I18" s="6" t="s">
        <v>703</v>
      </c>
      <c r="J18" s="6" t="str">
        <f>"06851"</f>
        <v>06851</v>
      </c>
      <c r="K18" s="6"/>
      <c r="L18" s="6" t="s">
        <v>22</v>
      </c>
      <c r="M18" s="6" t="s">
        <v>2996</v>
      </c>
      <c r="N18" s="38" t="s">
        <v>2997</v>
      </c>
    </row>
    <row r="19" spans="1:14" ht="15" x14ac:dyDescent="0.25">
      <c r="A19" s="12" t="s">
        <v>398</v>
      </c>
      <c r="B19" s="6" t="s">
        <v>3228</v>
      </c>
      <c r="C19" s="6"/>
      <c r="D19" s="6" t="s">
        <v>2709</v>
      </c>
      <c r="E19" s="6" t="s">
        <v>3072</v>
      </c>
      <c r="F19" s="6" t="s">
        <v>2711</v>
      </c>
      <c r="G19" s="6"/>
      <c r="H19" s="6" t="s">
        <v>2712</v>
      </c>
      <c r="I19" s="6" t="s">
        <v>76</v>
      </c>
      <c r="J19" s="6" t="str">
        <f>"75063"</f>
        <v>75063</v>
      </c>
      <c r="K19" s="6"/>
      <c r="L19" s="6" t="s">
        <v>22</v>
      </c>
      <c r="M19" s="6" t="s">
        <v>3229</v>
      </c>
      <c r="N19" s="38" t="s">
        <v>3230</v>
      </c>
    </row>
    <row r="20" spans="1:14" ht="15" x14ac:dyDescent="0.25">
      <c r="A20" s="9" t="s">
        <v>3238</v>
      </c>
      <c r="B20" s="5" t="s">
        <v>3239</v>
      </c>
      <c r="C20" s="5"/>
      <c r="D20" s="5" t="s">
        <v>3240</v>
      </c>
      <c r="E20" s="5" t="s">
        <v>3241</v>
      </c>
      <c r="F20" s="5" t="s">
        <v>3242</v>
      </c>
      <c r="G20" s="5"/>
      <c r="H20" s="5" t="s">
        <v>3243</v>
      </c>
      <c r="I20" s="5" t="s">
        <v>1217</v>
      </c>
      <c r="J20" s="5" t="str">
        <f>"35056"</f>
        <v>35056</v>
      </c>
      <c r="K20" s="5"/>
      <c r="L20" s="5" t="s">
        <v>22</v>
      </c>
      <c r="M20" s="5" t="s">
        <v>3244</v>
      </c>
      <c r="N20" s="43" t="s">
        <v>3245</v>
      </c>
    </row>
    <row r="21" spans="1:14" ht="15" x14ac:dyDescent="0.25">
      <c r="A21" s="9" t="s">
        <v>1805</v>
      </c>
      <c r="B21" s="5" t="s">
        <v>3193</v>
      </c>
      <c r="C21" s="5"/>
      <c r="D21" s="5" t="s">
        <v>269</v>
      </c>
      <c r="E21" s="5" t="s">
        <v>731</v>
      </c>
      <c r="F21" s="5" t="s">
        <v>2250</v>
      </c>
      <c r="G21" s="5"/>
      <c r="H21" s="5" t="s">
        <v>272</v>
      </c>
      <c r="I21" s="5" t="s">
        <v>30</v>
      </c>
      <c r="J21" s="5" t="str">
        <f>"20191"</f>
        <v>20191</v>
      </c>
      <c r="K21" s="5"/>
      <c r="L21" s="5" t="s">
        <v>22</v>
      </c>
      <c r="M21" s="5" t="s">
        <v>273</v>
      </c>
      <c r="N21" s="43" t="s">
        <v>3194</v>
      </c>
    </row>
    <row r="22" spans="1:14" ht="15" x14ac:dyDescent="0.25">
      <c r="A22" s="9" t="s">
        <v>3031</v>
      </c>
      <c r="B22" s="5" t="s">
        <v>3032</v>
      </c>
      <c r="C22" s="5"/>
      <c r="D22" s="5" t="s">
        <v>3033</v>
      </c>
      <c r="E22" s="5" t="s">
        <v>3034</v>
      </c>
      <c r="F22" s="5" t="s">
        <v>3035</v>
      </c>
      <c r="G22" s="5" t="s">
        <v>3036</v>
      </c>
      <c r="H22" s="5" t="s">
        <v>3037</v>
      </c>
      <c r="I22" s="5" t="s">
        <v>118</v>
      </c>
      <c r="J22" s="5" t="str">
        <f>"48236-2757"</f>
        <v>48236-2757</v>
      </c>
      <c r="K22" s="5"/>
      <c r="L22" s="5" t="s">
        <v>22</v>
      </c>
      <c r="M22" s="5" t="s">
        <v>3038</v>
      </c>
      <c r="N22" s="43" t="s">
        <v>3039</v>
      </c>
    </row>
    <row r="23" spans="1:14" ht="15" x14ac:dyDescent="0.25">
      <c r="A23" s="9" t="s">
        <v>3403</v>
      </c>
      <c r="B23" s="5" t="s">
        <v>3404</v>
      </c>
      <c r="C23" s="5"/>
      <c r="D23" s="5" t="s">
        <v>2777</v>
      </c>
      <c r="E23" s="5" t="s">
        <v>3181</v>
      </c>
      <c r="F23" s="5" t="s">
        <v>1107</v>
      </c>
      <c r="G23" s="5"/>
      <c r="H23" s="5" t="s">
        <v>38</v>
      </c>
      <c r="I23" s="5" t="s">
        <v>39</v>
      </c>
      <c r="J23" s="5" t="str">
        <f>"20590"</f>
        <v>20590</v>
      </c>
      <c r="K23" s="5"/>
      <c r="L23" s="5" t="s">
        <v>22</v>
      </c>
      <c r="M23" s="5" t="s">
        <v>3406</v>
      </c>
      <c r="N23" s="24" t="s">
        <v>3405</v>
      </c>
    </row>
    <row r="24" spans="1:14" ht="15" x14ac:dyDescent="0.25">
      <c r="A24" s="9" t="s">
        <v>3040</v>
      </c>
      <c r="B24" s="5" t="s">
        <v>3041</v>
      </c>
      <c r="C24" s="5"/>
      <c r="D24" s="5" t="s">
        <v>467</v>
      </c>
      <c r="E24" s="5" t="s">
        <v>731</v>
      </c>
      <c r="F24" s="5" t="s">
        <v>469</v>
      </c>
      <c r="G24" s="5" t="s">
        <v>3042</v>
      </c>
      <c r="H24" s="5" t="s">
        <v>471</v>
      </c>
      <c r="I24" s="5" t="s">
        <v>118</v>
      </c>
      <c r="J24" s="5" t="str">
        <f>"48126-2798"</f>
        <v>48126-2798</v>
      </c>
      <c r="K24" s="5"/>
      <c r="L24" s="5" t="s">
        <v>22</v>
      </c>
      <c r="M24" s="5" t="s">
        <v>3043</v>
      </c>
      <c r="N24" s="43" t="s">
        <v>3044</v>
      </c>
    </row>
    <row r="25" spans="1:14" ht="15" x14ac:dyDescent="0.25">
      <c r="A25" s="9" t="s">
        <v>1027</v>
      </c>
      <c r="B25" s="5" t="s">
        <v>3045</v>
      </c>
      <c r="C25" s="5"/>
      <c r="D25" s="5" t="s">
        <v>467</v>
      </c>
      <c r="E25" s="5" t="s">
        <v>731</v>
      </c>
      <c r="F25" s="5" t="s">
        <v>469</v>
      </c>
      <c r="G25" s="5" t="s">
        <v>3046</v>
      </c>
      <c r="H25" s="5" t="s">
        <v>471</v>
      </c>
      <c r="I25" s="5" t="s">
        <v>118</v>
      </c>
      <c r="J25" s="5" t="str">
        <f>"48126"</f>
        <v>48126</v>
      </c>
      <c r="K25" s="5"/>
      <c r="L25" s="5" t="s">
        <v>22</v>
      </c>
      <c r="M25" s="5" t="s">
        <v>3047</v>
      </c>
      <c r="N25" s="43" t="s">
        <v>3048</v>
      </c>
    </row>
    <row r="26" spans="1:14" ht="15" x14ac:dyDescent="0.25">
      <c r="A26" s="13" t="s">
        <v>3080</v>
      </c>
      <c r="B26" s="14" t="s">
        <v>3081</v>
      </c>
      <c r="C26" s="14"/>
      <c r="D26" s="14" t="s">
        <v>652</v>
      </c>
      <c r="E26" s="14" t="s">
        <v>3082</v>
      </c>
      <c r="F26" s="14" t="s">
        <v>654</v>
      </c>
      <c r="G26" s="14" t="s">
        <v>655</v>
      </c>
      <c r="H26" s="14" t="s">
        <v>544</v>
      </c>
      <c r="I26" s="14" t="s">
        <v>30</v>
      </c>
      <c r="J26" s="14" t="str">
        <f>"22202-4801"</f>
        <v>22202-4801</v>
      </c>
      <c r="K26" s="14"/>
      <c r="L26" s="14" t="s">
        <v>22</v>
      </c>
      <c r="M26" s="14" t="s">
        <v>3083</v>
      </c>
      <c r="N26" s="43" t="s">
        <v>3084</v>
      </c>
    </row>
    <row r="27" spans="1:14" ht="15" x14ac:dyDescent="0.25">
      <c r="A27" s="9" t="s">
        <v>2504</v>
      </c>
      <c r="B27" s="5" t="s">
        <v>3059</v>
      </c>
      <c r="C27" s="5"/>
      <c r="D27" s="5" t="s">
        <v>1438</v>
      </c>
      <c r="E27" s="5" t="s">
        <v>3060</v>
      </c>
      <c r="F27" s="5" t="s">
        <v>1440</v>
      </c>
      <c r="G27" s="5"/>
      <c r="H27" s="5" t="s">
        <v>1442</v>
      </c>
      <c r="I27" s="5" t="s">
        <v>1324</v>
      </c>
      <c r="J27" s="5" t="str">
        <f>"30334"</f>
        <v>30334</v>
      </c>
      <c r="K27" s="5"/>
      <c r="L27" s="5" t="s">
        <v>22</v>
      </c>
      <c r="M27" s="5" t="s">
        <v>1443</v>
      </c>
      <c r="N27" s="43" t="s">
        <v>3061</v>
      </c>
    </row>
    <row r="28" spans="1:14" ht="15" x14ac:dyDescent="0.25">
      <c r="A28" s="9" t="s">
        <v>413</v>
      </c>
      <c r="B28" s="5" t="s">
        <v>3232</v>
      </c>
      <c r="C28" s="5"/>
      <c r="D28" s="5" t="s">
        <v>3233</v>
      </c>
      <c r="E28" s="5" t="s">
        <v>3132</v>
      </c>
      <c r="F28" s="5" t="s">
        <v>3234</v>
      </c>
      <c r="G28" s="5"/>
      <c r="H28" s="5" t="s">
        <v>3235</v>
      </c>
      <c r="I28" s="5" t="s">
        <v>242</v>
      </c>
      <c r="J28" s="5" t="str">
        <f>"34135-8299"</f>
        <v>34135-8299</v>
      </c>
      <c r="K28" s="5"/>
      <c r="L28" s="5" t="s">
        <v>22</v>
      </c>
      <c r="M28" s="5" t="s">
        <v>3236</v>
      </c>
      <c r="N28" s="43" t="s">
        <v>3237</v>
      </c>
    </row>
    <row r="29" spans="1:14" ht="15" x14ac:dyDescent="0.25">
      <c r="A29" s="9" t="s">
        <v>2998</v>
      </c>
      <c r="B29" s="5" t="s">
        <v>3016</v>
      </c>
      <c r="C29" s="5"/>
      <c r="D29" s="5" t="s">
        <v>3017</v>
      </c>
      <c r="E29" s="5" t="s">
        <v>3018</v>
      </c>
      <c r="F29" s="5" t="s">
        <v>3019</v>
      </c>
      <c r="G29" s="5"/>
      <c r="H29" s="5" t="s">
        <v>3020</v>
      </c>
      <c r="I29" s="5" t="s">
        <v>118</v>
      </c>
      <c r="J29" s="5" t="str">
        <f>"48236"</f>
        <v>48236</v>
      </c>
      <c r="K29" s="5"/>
      <c r="L29" s="5" t="s">
        <v>22</v>
      </c>
      <c r="M29" s="5" t="s">
        <v>3021</v>
      </c>
      <c r="N29" s="43" t="s">
        <v>3022</v>
      </c>
    </row>
    <row r="30" spans="1:14" ht="15" x14ac:dyDescent="0.25">
      <c r="A30" s="9" t="s">
        <v>3159</v>
      </c>
      <c r="B30" s="5" t="s">
        <v>3160</v>
      </c>
      <c r="C30" s="5"/>
      <c r="D30" s="5" t="s">
        <v>1319</v>
      </c>
      <c r="E30" s="5" t="s">
        <v>3161</v>
      </c>
      <c r="F30" s="5" t="s">
        <v>1321</v>
      </c>
      <c r="G30" s="5" t="s">
        <v>1322</v>
      </c>
      <c r="H30" s="5" t="s">
        <v>1323</v>
      </c>
      <c r="I30" s="5" t="s">
        <v>1324</v>
      </c>
      <c r="J30" s="5" t="str">
        <f>"30005"</f>
        <v>30005</v>
      </c>
      <c r="K30" s="5"/>
      <c r="L30" s="5" t="s">
        <v>22</v>
      </c>
      <c r="M30" s="5" t="s">
        <v>3162</v>
      </c>
      <c r="N30" s="43" t="s">
        <v>3163</v>
      </c>
    </row>
    <row r="31" spans="1:14" ht="15" x14ac:dyDescent="0.25">
      <c r="A31" s="20" t="s">
        <v>304</v>
      </c>
      <c r="B31" s="21" t="s">
        <v>3085</v>
      </c>
      <c r="C31" s="21"/>
      <c r="D31" s="21" t="s">
        <v>776</v>
      </c>
      <c r="E31" s="21" t="s">
        <v>3086</v>
      </c>
      <c r="F31" s="21" t="s">
        <v>783</v>
      </c>
      <c r="G31" s="21"/>
      <c r="H31" s="21" t="s">
        <v>779</v>
      </c>
      <c r="I31" s="21" t="s">
        <v>780</v>
      </c>
      <c r="J31" s="21" t="str">
        <f>"87104"</f>
        <v>87104</v>
      </c>
      <c r="K31" s="21"/>
      <c r="L31" s="21" t="s">
        <v>22</v>
      </c>
      <c r="M31" s="21" t="s">
        <v>781</v>
      </c>
      <c r="N31" s="38" t="s">
        <v>782</v>
      </c>
    </row>
    <row r="32" spans="1:14" ht="15" x14ac:dyDescent="0.25">
      <c r="A32" s="9" t="s">
        <v>2851</v>
      </c>
      <c r="B32" s="5" t="s">
        <v>3221</v>
      </c>
      <c r="C32" s="5"/>
      <c r="D32" s="5" t="s">
        <v>3222</v>
      </c>
      <c r="E32" s="5" t="s">
        <v>3223</v>
      </c>
      <c r="F32" s="5" t="s">
        <v>3224</v>
      </c>
      <c r="G32" s="5"/>
      <c r="H32" s="5" t="s">
        <v>3225</v>
      </c>
      <c r="I32" s="5" t="s">
        <v>1786</v>
      </c>
      <c r="J32" s="5" t="str">
        <f>"53593-0064"</f>
        <v>53593-0064</v>
      </c>
      <c r="K32" s="5"/>
      <c r="L32" s="5" t="s">
        <v>22</v>
      </c>
      <c r="M32" s="5" t="s">
        <v>3226</v>
      </c>
      <c r="N32" s="43" t="s">
        <v>3227</v>
      </c>
    </row>
    <row r="33" spans="1:14" ht="15" x14ac:dyDescent="0.25">
      <c r="A33" s="9" t="s">
        <v>3120</v>
      </c>
      <c r="B33" s="5" t="s">
        <v>3121</v>
      </c>
      <c r="C33" s="5"/>
      <c r="D33" s="5" t="s">
        <v>944</v>
      </c>
      <c r="E33" s="5" t="s">
        <v>791</v>
      </c>
      <c r="F33" s="5" t="s">
        <v>945</v>
      </c>
      <c r="G33" s="5"/>
      <c r="H33" s="5" t="s">
        <v>946</v>
      </c>
      <c r="I33" s="5" t="s">
        <v>242</v>
      </c>
      <c r="J33" s="5" t="str">
        <f>"32224-2678"</f>
        <v>32224-2678</v>
      </c>
      <c r="K33" s="5"/>
      <c r="L33" s="5" t="s">
        <v>22</v>
      </c>
      <c r="M33" s="5" t="s">
        <v>3122</v>
      </c>
      <c r="N33" s="43" t="s">
        <v>3123</v>
      </c>
    </row>
    <row r="34" spans="1:14" ht="15" x14ac:dyDescent="0.25">
      <c r="A34" s="9" t="s">
        <v>3444</v>
      </c>
      <c r="B34" s="5" t="s">
        <v>3445</v>
      </c>
      <c r="C34" s="5"/>
      <c r="D34" s="5" t="s">
        <v>3202</v>
      </c>
      <c r="E34" s="5" t="s">
        <v>3446</v>
      </c>
      <c r="F34" s="5" t="s">
        <v>3203</v>
      </c>
      <c r="G34" s="5"/>
      <c r="H34" s="5" t="s">
        <v>1513</v>
      </c>
      <c r="I34" s="5" t="s">
        <v>1514</v>
      </c>
      <c r="J34" s="5" t="str">
        <f>"50322"</f>
        <v>50322</v>
      </c>
      <c r="K34" s="5"/>
      <c r="L34" s="5" t="s">
        <v>22</v>
      </c>
      <c r="M34" s="5" t="s">
        <v>3204</v>
      </c>
      <c r="N34" s="24" t="s">
        <v>3447</v>
      </c>
    </row>
    <row r="35" spans="1:14" ht="15" x14ac:dyDescent="0.25">
      <c r="A35" s="12" t="s">
        <v>1581</v>
      </c>
      <c r="B35" s="6" t="s">
        <v>2963</v>
      </c>
      <c r="C35" s="6"/>
      <c r="D35" s="6" t="s">
        <v>2964</v>
      </c>
      <c r="E35" s="6" t="s">
        <v>2965</v>
      </c>
      <c r="F35" s="6" t="s">
        <v>2966</v>
      </c>
      <c r="G35" s="6"/>
      <c r="H35" s="6" t="s">
        <v>2967</v>
      </c>
      <c r="I35" s="6" t="s">
        <v>997</v>
      </c>
      <c r="J35" s="6" t="str">
        <f>"63146"</f>
        <v>63146</v>
      </c>
      <c r="K35" s="6"/>
      <c r="L35" s="6" t="s">
        <v>22</v>
      </c>
      <c r="M35" s="6" t="s">
        <v>2968</v>
      </c>
      <c r="N35" s="38" t="s">
        <v>2969</v>
      </c>
    </row>
    <row r="36" spans="1:14" ht="15" x14ac:dyDescent="0.25">
      <c r="A36" s="9" t="s">
        <v>218</v>
      </c>
      <c r="B36" s="5" t="s">
        <v>2046</v>
      </c>
      <c r="C36" s="5"/>
      <c r="D36" s="5" t="s">
        <v>2047</v>
      </c>
      <c r="E36" s="5"/>
      <c r="F36" s="5" t="s">
        <v>2048</v>
      </c>
      <c r="G36" s="5"/>
      <c r="H36" s="5" t="s">
        <v>1323</v>
      </c>
      <c r="I36" s="5" t="s">
        <v>1324</v>
      </c>
      <c r="J36" s="5" t="str">
        <f>"30005"</f>
        <v>30005</v>
      </c>
      <c r="K36" s="5"/>
      <c r="L36" s="5" t="s">
        <v>22</v>
      </c>
      <c r="M36" s="5" t="s">
        <v>2049</v>
      </c>
      <c r="N36" s="43" t="s">
        <v>2050</v>
      </c>
    </row>
    <row r="37" spans="1:14" ht="15" x14ac:dyDescent="0.25">
      <c r="A37" s="9" t="s">
        <v>329</v>
      </c>
      <c r="B37" s="5" t="s">
        <v>2978</v>
      </c>
      <c r="C37" s="5"/>
      <c r="D37" s="5" t="s">
        <v>2979</v>
      </c>
      <c r="E37" s="5" t="s">
        <v>2980</v>
      </c>
      <c r="F37" s="5" t="s">
        <v>2981</v>
      </c>
      <c r="G37" s="5"/>
      <c r="H37" s="5" t="s">
        <v>2982</v>
      </c>
      <c r="I37" s="5" t="s">
        <v>326</v>
      </c>
      <c r="J37" s="5" t="str">
        <f>"27261"</f>
        <v>27261</v>
      </c>
      <c r="K37" s="5"/>
      <c r="L37" s="5" t="s">
        <v>22</v>
      </c>
      <c r="M37" s="5" t="s">
        <v>2983</v>
      </c>
      <c r="N37" s="43" t="s">
        <v>2984</v>
      </c>
    </row>
    <row r="38" spans="1:14" ht="15" x14ac:dyDescent="0.25">
      <c r="A38" s="12" t="s">
        <v>1633</v>
      </c>
      <c r="B38" s="6" t="s">
        <v>2974</v>
      </c>
      <c r="C38" s="6"/>
      <c r="D38" s="6" t="s">
        <v>260</v>
      </c>
      <c r="E38" s="6" t="s">
        <v>261</v>
      </c>
      <c r="F38" s="6" t="s">
        <v>2975</v>
      </c>
      <c r="G38" s="6" t="s">
        <v>2976</v>
      </c>
      <c r="H38" s="6" t="s">
        <v>263</v>
      </c>
      <c r="I38" s="6" t="s">
        <v>264</v>
      </c>
      <c r="J38" s="6" t="str">
        <f>"80033"</f>
        <v>80033</v>
      </c>
      <c r="K38" s="6"/>
      <c r="L38" s="6" t="s">
        <v>22</v>
      </c>
      <c r="M38" s="6" t="s">
        <v>265</v>
      </c>
      <c r="N38" s="38" t="s">
        <v>2977</v>
      </c>
    </row>
    <row r="39" spans="1:14" ht="15" x14ac:dyDescent="0.25">
      <c r="A39" s="9" t="s">
        <v>404</v>
      </c>
      <c r="B39" s="5" t="s">
        <v>2985</v>
      </c>
      <c r="C39" s="5" t="s">
        <v>812</v>
      </c>
      <c r="D39" s="5" t="s">
        <v>2986</v>
      </c>
      <c r="E39" s="5" t="s">
        <v>2987</v>
      </c>
      <c r="F39" s="5" t="s">
        <v>2988</v>
      </c>
      <c r="G39" s="5"/>
      <c r="H39" s="5" t="s">
        <v>2989</v>
      </c>
      <c r="I39" s="5" t="s">
        <v>875</v>
      </c>
      <c r="J39" s="5" t="str">
        <f>"37129"</f>
        <v>37129</v>
      </c>
      <c r="K39" s="5"/>
      <c r="L39" s="5" t="s">
        <v>22</v>
      </c>
      <c r="M39" s="5" t="s">
        <v>2990</v>
      </c>
      <c r="N39" s="43" t="s">
        <v>2991</v>
      </c>
    </row>
    <row r="40" spans="1:14" ht="15" x14ac:dyDescent="0.25">
      <c r="A40" s="9" t="s">
        <v>3164</v>
      </c>
      <c r="B40" s="5" t="s">
        <v>3165</v>
      </c>
      <c r="C40" s="5"/>
      <c r="D40" s="5" t="s">
        <v>1478</v>
      </c>
      <c r="E40" s="5" t="s">
        <v>3166</v>
      </c>
      <c r="F40" s="5" t="s">
        <v>1480</v>
      </c>
      <c r="G40" s="5"/>
      <c r="H40" s="5" t="s">
        <v>1481</v>
      </c>
      <c r="I40" s="5" t="s">
        <v>128</v>
      </c>
      <c r="J40" s="5" t="str">
        <f>"95403"</f>
        <v>95403</v>
      </c>
      <c r="K40" s="5"/>
      <c r="L40" s="5" t="s">
        <v>22</v>
      </c>
      <c r="M40" s="5" t="s">
        <v>1482</v>
      </c>
      <c r="N40" s="43" t="s">
        <v>1483</v>
      </c>
    </row>
    <row r="41" spans="1:14" ht="15" x14ac:dyDescent="0.25">
      <c r="A41" s="9" t="s">
        <v>308</v>
      </c>
      <c r="B41" s="5" t="s">
        <v>2960</v>
      </c>
      <c r="C41" s="5"/>
      <c r="D41" s="5" t="s">
        <v>123</v>
      </c>
      <c r="E41" s="5" t="s">
        <v>2961</v>
      </c>
      <c r="F41" s="5" t="s">
        <v>125</v>
      </c>
      <c r="G41" s="5" t="s">
        <v>126</v>
      </c>
      <c r="H41" s="5" t="s">
        <v>127</v>
      </c>
      <c r="I41" s="5" t="s">
        <v>128</v>
      </c>
      <c r="J41" s="5" t="str">
        <f>"92618"</f>
        <v>92618</v>
      </c>
      <c r="K41" s="5"/>
      <c r="L41" s="5" t="s">
        <v>22</v>
      </c>
      <c r="M41" s="5" t="s">
        <v>129</v>
      </c>
      <c r="N41" s="43" t="s">
        <v>2962</v>
      </c>
    </row>
    <row r="42" spans="1:14" ht="15" x14ac:dyDescent="0.25">
      <c r="A42" s="12" t="s">
        <v>737</v>
      </c>
      <c r="B42" s="6" t="s">
        <v>1623</v>
      </c>
      <c r="C42" s="6"/>
      <c r="D42" s="6" t="s">
        <v>3105</v>
      </c>
      <c r="E42" s="6" t="s">
        <v>3106</v>
      </c>
      <c r="F42" s="6" t="s">
        <v>3107</v>
      </c>
      <c r="G42" s="6"/>
      <c r="H42" s="6" t="s">
        <v>1167</v>
      </c>
      <c r="I42" s="6" t="s">
        <v>172</v>
      </c>
      <c r="J42" s="6" t="str">
        <f>"42303"</f>
        <v>42303</v>
      </c>
      <c r="K42" s="6"/>
      <c r="L42" s="6" t="s">
        <v>22</v>
      </c>
      <c r="M42" s="6" t="s">
        <v>3108</v>
      </c>
      <c r="N42" s="38" t="s">
        <v>3109</v>
      </c>
    </row>
    <row r="43" spans="1:14" ht="15" x14ac:dyDescent="0.25">
      <c r="A43" s="12" t="s">
        <v>3133</v>
      </c>
      <c r="B43" s="6" t="s">
        <v>3134</v>
      </c>
      <c r="C43" s="6"/>
      <c r="D43" s="6" t="s">
        <v>3135</v>
      </c>
      <c r="E43" s="6" t="s">
        <v>3136</v>
      </c>
      <c r="F43" s="6" t="s">
        <v>3137</v>
      </c>
      <c r="G43" s="6"/>
      <c r="H43" s="6" t="s">
        <v>1672</v>
      </c>
      <c r="I43" s="6" t="s">
        <v>1673</v>
      </c>
      <c r="J43" s="6" t="str">
        <f>"66604"</f>
        <v>66604</v>
      </c>
      <c r="K43" s="6"/>
      <c r="L43" s="6" t="s">
        <v>22</v>
      </c>
      <c r="M43" s="6" t="s">
        <v>3138</v>
      </c>
      <c r="N43" s="38" t="s">
        <v>3139</v>
      </c>
    </row>
    <row r="44" spans="1:14" ht="15" x14ac:dyDescent="0.25">
      <c r="A44" s="20" t="s">
        <v>3076</v>
      </c>
      <c r="B44" s="21" t="s">
        <v>3077</v>
      </c>
      <c r="C44" s="21"/>
      <c r="D44" s="21" t="s">
        <v>644</v>
      </c>
      <c r="E44" s="21" t="s">
        <v>2057</v>
      </c>
      <c r="F44" s="21" t="s">
        <v>645</v>
      </c>
      <c r="G44" s="21" t="s">
        <v>646</v>
      </c>
      <c r="H44" s="21" t="s">
        <v>647</v>
      </c>
      <c r="I44" s="21" t="s">
        <v>30</v>
      </c>
      <c r="J44" s="21" t="str">
        <f>"22314"</f>
        <v>22314</v>
      </c>
      <c r="K44" s="21"/>
      <c r="L44" s="21" t="s">
        <v>22</v>
      </c>
      <c r="M44" s="21" t="s">
        <v>3078</v>
      </c>
      <c r="N44" s="38" t="s">
        <v>3079</v>
      </c>
    </row>
    <row r="45" spans="1:14" ht="15" x14ac:dyDescent="0.25">
      <c r="A45" s="12" t="s">
        <v>71</v>
      </c>
      <c r="B45" s="6" t="s">
        <v>3171</v>
      </c>
      <c r="C45" s="6"/>
      <c r="D45" s="6" t="s">
        <v>1106</v>
      </c>
      <c r="E45" s="6" t="s">
        <v>3172</v>
      </c>
      <c r="F45" s="6" t="s">
        <v>1107</v>
      </c>
      <c r="G45" s="6" t="s">
        <v>3173</v>
      </c>
      <c r="H45" s="6" t="s">
        <v>38</v>
      </c>
      <c r="I45" s="6" t="s">
        <v>39</v>
      </c>
      <c r="J45" s="6" t="str">
        <f>"20590"</f>
        <v>20590</v>
      </c>
      <c r="K45" s="6"/>
      <c r="L45" s="6" t="s">
        <v>22</v>
      </c>
      <c r="M45" s="6" t="s">
        <v>3174</v>
      </c>
      <c r="N45" s="38" t="s">
        <v>3175</v>
      </c>
    </row>
    <row r="46" spans="1:14" ht="15" x14ac:dyDescent="0.25">
      <c r="A46" s="12" t="s">
        <v>71</v>
      </c>
      <c r="B46" s="6" t="s">
        <v>3176</v>
      </c>
      <c r="C46" s="6"/>
      <c r="D46" s="6" t="s">
        <v>1106</v>
      </c>
      <c r="E46" s="6" t="s">
        <v>3177</v>
      </c>
      <c r="F46" s="6" t="s">
        <v>1107</v>
      </c>
      <c r="G46" s="6" t="s">
        <v>3178</v>
      </c>
      <c r="H46" s="6" t="s">
        <v>38</v>
      </c>
      <c r="I46" s="6" t="s">
        <v>39</v>
      </c>
      <c r="J46" s="6" t="str">
        <f>"20590"</f>
        <v>20590</v>
      </c>
      <c r="K46" s="6"/>
      <c r="L46" s="6" t="s">
        <v>22</v>
      </c>
      <c r="M46" s="6" t="s">
        <v>3179</v>
      </c>
      <c r="N46" s="38" t="s">
        <v>3180</v>
      </c>
    </row>
    <row r="47" spans="1:14" ht="15" x14ac:dyDescent="0.25">
      <c r="A47" s="9" t="s">
        <v>3124</v>
      </c>
      <c r="B47" s="5" t="s">
        <v>3125</v>
      </c>
      <c r="C47" s="5"/>
      <c r="D47" s="5" t="s">
        <v>3126</v>
      </c>
      <c r="E47" s="5" t="s">
        <v>3127</v>
      </c>
      <c r="F47" s="5" t="s">
        <v>3128</v>
      </c>
      <c r="G47" s="5" t="s">
        <v>3129</v>
      </c>
      <c r="H47" s="5" t="s">
        <v>771</v>
      </c>
      <c r="I47" s="5" t="s">
        <v>762</v>
      </c>
      <c r="J47" s="5" t="str">
        <f>"89557"</f>
        <v>89557</v>
      </c>
      <c r="K47" s="5"/>
      <c r="L47" s="5" t="s">
        <v>22</v>
      </c>
      <c r="M47" s="5" t="s">
        <v>3130</v>
      </c>
      <c r="N47" s="43" t="s">
        <v>3131</v>
      </c>
    </row>
    <row r="48" spans="1:14" ht="15" x14ac:dyDescent="0.25">
      <c r="A48" s="9"/>
      <c r="B48" s="5"/>
      <c r="C48" s="5"/>
      <c r="D48" s="5" t="s">
        <v>730</v>
      </c>
      <c r="E48" s="5" t="s">
        <v>3087</v>
      </c>
      <c r="F48" s="5" t="s">
        <v>950</v>
      </c>
      <c r="G48" s="5"/>
      <c r="H48" s="5" t="s">
        <v>922</v>
      </c>
      <c r="I48" s="5" t="s">
        <v>454</v>
      </c>
      <c r="J48" s="5" t="str">
        <f>"60143-3201"</f>
        <v>60143-3201</v>
      </c>
      <c r="K48" s="5"/>
      <c r="L48" s="5" t="s">
        <v>22</v>
      </c>
      <c r="M48" s="5" t="s">
        <v>3088</v>
      </c>
      <c r="N48" s="43" t="s">
        <v>3089</v>
      </c>
    </row>
    <row r="49" spans="1:14" ht="15" x14ac:dyDescent="0.25">
      <c r="A49" s="9" t="s">
        <v>1737</v>
      </c>
      <c r="B49" s="5" t="s">
        <v>2006</v>
      </c>
      <c r="C49" s="5"/>
      <c r="D49" s="5" t="s">
        <v>2007</v>
      </c>
      <c r="E49" s="5" t="s">
        <v>270</v>
      </c>
      <c r="F49" s="5" t="s">
        <v>2008</v>
      </c>
      <c r="G49" s="5" t="s">
        <v>2009</v>
      </c>
      <c r="H49" s="5" t="s">
        <v>2010</v>
      </c>
      <c r="I49" s="5" t="s">
        <v>30</v>
      </c>
      <c r="J49" s="5" t="str">
        <f>"22180"</f>
        <v>22180</v>
      </c>
      <c r="K49" s="5"/>
      <c r="L49" s="5" t="s">
        <v>22</v>
      </c>
      <c r="M49" s="5" t="s">
        <v>2011</v>
      </c>
      <c r="N49" s="43" t="s">
        <v>2012</v>
      </c>
    </row>
    <row r="50" spans="1:14" ht="15" x14ac:dyDescent="0.25">
      <c r="A50" s="9" t="s">
        <v>1124</v>
      </c>
      <c r="B50" s="5" t="s">
        <v>3062</v>
      </c>
      <c r="C50" s="5"/>
      <c r="D50" s="5" t="s">
        <v>3063</v>
      </c>
      <c r="E50" s="5" t="s">
        <v>3064</v>
      </c>
      <c r="F50" s="5" t="s">
        <v>3065</v>
      </c>
      <c r="G50" s="5"/>
      <c r="H50" s="5" t="s">
        <v>3066</v>
      </c>
      <c r="I50" s="5" t="s">
        <v>1114</v>
      </c>
      <c r="J50" s="5" t="str">
        <f>"19090"</f>
        <v>19090</v>
      </c>
      <c r="K50" s="5"/>
      <c r="L50" s="5" t="s">
        <v>22</v>
      </c>
      <c r="M50" s="5" t="s">
        <v>3067</v>
      </c>
      <c r="N50" s="43" t="s">
        <v>3068</v>
      </c>
    </row>
    <row r="51" spans="1:14" ht="15" x14ac:dyDescent="0.25">
      <c r="A51" s="9" t="s">
        <v>914</v>
      </c>
      <c r="B51" s="5" t="s">
        <v>3195</v>
      </c>
      <c r="C51" s="5"/>
      <c r="D51" s="5" t="s">
        <v>3196</v>
      </c>
      <c r="E51" s="5" t="s">
        <v>3197</v>
      </c>
      <c r="F51" s="5" t="s">
        <v>3198</v>
      </c>
      <c r="G51" s="5"/>
      <c r="H51" s="5" t="s">
        <v>3199</v>
      </c>
      <c r="I51" s="5" t="s">
        <v>128</v>
      </c>
      <c r="J51" s="5" t="str">
        <f>"92011"</f>
        <v>92011</v>
      </c>
      <c r="K51" s="5"/>
      <c r="L51" s="5" t="s">
        <v>22</v>
      </c>
      <c r="M51" s="5" t="s">
        <v>3200</v>
      </c>
      <c r="N51" s="43" t="s">
        <v>3201</v>
      </c>
    </row>
    <row r="52" spans="1:14" ht="15" x14ac:dyDescent="0.25">
      <c r="A52" s="9" t="s">
        <v>1805</v>
      </c>
      <c r="B52" s="5" t="s">
        <v>3140</v>
      </c>
      <c r="C52" s="5"/>
      <c r="D52" s="5" t="s">
        <v>3141</v>
      </c>
      <c r="E52" s="5" t="s">
        <v>1832</v>
      </c>
      <c r="F52" s="5" t="s">
        <v>3142</v>
      </c>
      <c r="G52" s="5"/>
      <c r="H52" s="5" t="s">
        <v>3143</v>
      </c>
      <c r="I52" s="5" t="s">
        <v>1324</v>
      </c>
      <c r="J52" s="5" t="str">
        <f>"30082"</f>
        <v>30082</v>
      </c>
      <c r="K52" s="5"/>
      <c r="L52" s="5" t="s">
        <v>22</v>
      </c>
      <c r="M52" s="5" t="s">
        <v>3144</v>
      </c>
      <c r="N52" s="43" t="s">
        <v>3145</v>
      </c>
    </row>
    <row r="53" spans="1:14" ht="15" x14ac:dyDescent="0.25">
      <c r="A53" s="9" t="s">
        <v>3023</v>
      </c>
      <c r="B53" s="5" t="s">
        <v>3024</v>
      </c>
      <c r="C53" s="5"/>
      <c r="D53" s="5" t="s">
        <v>548</v>
      </c>
      <c r="E53" s="5" t="s">
        <v>3025</v>
      </c>
      <c r="F53" s="5" t="s">
        <v>550</v>
      </c>
      <c r="G53" s="5"/>
      <c r="H53" s="5" t="s">
        <v>551</v>
      </c>
      <c r="I53" s="5" t="s">
        <v>30</v>
      </c>
      <c r="J53" s="5" t="str">
        <f>"22404-0330"</f>
        <v>22404-0330</v>
      </c>
      <c r="K53" s="5"/>
      <c r="L53" s="5" t="s">
        <v>22</v>
      </c>
      <c r="M53" s="5" t="s">
        <v>552</v>
      </c>
      <c r="N53" s="43" t="s">
        <v>3026</v>
      </c>
    </row>
    <row r="54" spans="1:14" ht="15" x14ac:dyDescent="0.25">
      <c r="A54" s="9" t="s">
        <v>3090</v>
      </c>
      <c r="B54" s="5" t="s">
        <v>1028</v>
      </c>
      <c r="C54" s="5"/>
      <c r="D54" s="5" t="s">
        <v>3091</v>
      </c>
      <c r="E54" s="5" t="s">
        <v>3092</v>
      </c>
      <c r="F54" s="5" t="s">
        <v>3093</v>
      </c>
      <c r="G54" s="5" t="s">
        <v>3094</v>
      </c>
      <c r="H54" s="5" t="s">
        <v>3095</v>
      </c>
      <c r="I54" s="5" t="s">
        <v>30</v>
      </c>
      <c r="J54" s="5" t="str">
        <f>"22963"</f>
        <v>22963</v>
      </c>
      <c r="K54" s="5"/>
      <c r="L54" s="5" t="s">
        <v>22</v>
      </c>
      <c r="M54" s="5" t="s">
        <v>3096</v>
      </c>
      <c r="N54" s="43" t="s">
        <v>3097</v>
      </c>
    </row>
    <row r="55" spans="1:14" ht="15" x14ac:dyDescent="0.25">
      <c r="A55" s="9" t="s">
        <v>3116</v>
      </c>
      <c r="B55" s="5" t="s">
        <v>3117</v>
      </c>
      <c r="C55" s="5"/>
      <c r="D55" s="5" t="s">
        <v>1985</v>
      </c>
      <c r="E55" s="5" t="s">
        <v>3118</v>
      </c>
      <c r="F55" s="5" t="s">
        <v>1987</v>
      </c>
      <c r="G55" s="5"/>
      <c r="H55" s="5" t="s">
        <v>1988</v>
      </c>
      <c r="I55" s="5" t="s">
        <v>68</v>
      </c>
      <c r="J55" s="5" t="str">
        <f>"01752"</f>
        <v>01752</v>
      </c>
      <c r="K55" s="5"/>
      <c r="L55" s="5" t="s">
        <v>22</v>
      </c>
      <c r="M55" s="5" t="s">
        <v>1994</v>
      </c>
      <c r="N55" s="43" t="s">
        <v>3119</v>
      </c>
    </row>
    <row r="56" spans="1:14" ht="15" x14ac:dyDescent="0.25">
      <c r="A56" s="9" t="s">
        <v>3436</v>
      </c>
      <c r="B56" s="5" t="s">
        <v>3437</v>
      </c>
      <c r="C56" s="5"/>
      <c r="D56" s="5" t="s">
        <v>1068</v>
      </c>
      <c r="E56" s="5" t="s">
        <v>3439</v>
      </c>
      <c r="F56" s="5" t="s">
        <v>2914</v>
      </c>
      <c r="G56" s="5"/>
      <c r="H56" s="5" t="s">
        <v>1069</v>
      </c>
      <c r="I56" s="5" t="s">
        <v>264</v>
      </c>
      <c r="J56" s="5" t="str">
        <f>"80120"</f>
        <v>80120</v>
      </c>
      <c r="K56" s="5"/>
      <c r="L56" s="5" t="s">
        <v>22</v>
      </c>
      <c r="M56" s="5" t="s">
        <v>3465</v>
      </c>
      <c r="N56" s="44" t="s">
        <v>3466</v>
      </c>
    </row>
    <row r="57" spans="1:14" ht="15" x14ac:dyDescent="0.25">
      <c r="A57" s="9" t="s">
        <v>685</v>
      </c>
      <c r="B57" s="5" t="s">
        <v>3215</v>
      </c>
      <c r="C57" s="5"/>
      <c r="D57" s="5" t="s">
        <v>3216</v>
      </c>
      <c r="E57" s="5" t="s">
        <v>3217</v>
      </c>
      <c r="F57" s="5" t="s">
        <v>3218</v>
      </c>
      <c r="G57" s="5"/>
      <c r="H57" s="5" t="s">
        <v>1442</v>
      </c>
      <c r="I57" s="5" t="s">
        <v>1324</v>
      </c>
      <c r="J57" s="5" t="str">
        <f>"30309"</f>
        <v>30309</v>
      </c>
      <c r="K57" s="5"/>
      <c r="L57" s="5" t="s">
        <v>22</v>
      </c>
      <c r="M57" s="5" t="s">
        <v>3219</v>
      </c>
      <c r="N57" s="43" t="s">
        <v>3220</v>
      </c>
    </row>
    <row r="58" spans="1:14" ht="15" x14ac:dyDescent="0.25">
      <c r="A58" s="9" t="s">
        <v>1332</v>
      </c>
      <c r="B58" s="5" t="s">
        <v>2941</v>
      </c>
      <c r="C58" s="5"/>
      <c r="D58" s="5" t="s">
        <v>72</v>
      </c>
      <c r="E58" s="5" t="s">
        <v>2261</v>
      </c>
      <c r="F58" s="5" t="s">
        <v>73</v>
      </c>
      <c r="G58" s="5" t="s">
        <v>74</v>
      </c>
      <c r="H58" s="5" t="s">
        <v>75</v>
      </c>
      <c r="I58" s="5" t="s">
        <v>76</v>
      </c>
      <c r="J58" s="5" t="str">
        <f>"76051-7658"</f>
        <v>76051-7658</v>
      </c>
      <c r="K58" s="5"/>
      <c r="L58" s="5" t="s">
        <v>22</v>
      </c>
      <c r="M58" s="5" t="s">
        <v>2942</v>
      </c>
      <c r="N58" s="43" t="s">
        <v>2943</v>
      </c>
    </row>
    <row r="59" spans="1:14" ht="15" x14ac:dyDescent="0.25">
      <c r="A59" s="9" t="s">
        <v>2944</v>
      </c>
      <c r="B59" s="5" t="s">
        <v>1244</v>
      </c>
      <c r="C59" s="5"/>
      <c r="D59" s="5" t="s">
        <v>72</v>
      </c>
      <c r="E59" s="5" t="s">
        <v>2945</v>
      </c>
      <c r="F59" s="5" t="s">
        <v>73</v>
      </c>
      <c r="G59" s="5" t="s">
        <v>74</v>
      </c>
      <c r="H59" s="5" t="s">
        <v>75</v>
      </c>
      <c r="I59" s="5" t="s">
        <v>76</v>
      </c>
      <c r="J59" s="5" t="str">
        <f>"76051-7658"</f>
        <v>76051-7658</v>
      </c>
      <c r="K59" s="5"/>
      <c r="L59" s="5" t="s">
        <v>22</v>
      </c>
      <c r="M59" s="5" t="s">
        <v>77</v>
      </c>
      <c r="N59" s="43" t="s">
        <v>2946</v>
      </c>
    </row>
    <row r="60" spans="1:14" ht="15" x14ac:dyDescent="0.25">
      <c r="A60" s="12" t="s">
        <v>3247</v>
      </c>
      <c r="B60" s="6" t="s">
        <v>3248</v>
      </c>
      <c r="C60" s="6"/>
      <c r="D60" s="6" t="s">
        <v>1676</v>
      </c>
      <c r="E60" s="6" t="s">
        <v>3072</v>
      </c>
      <c r="F60" s="6" t="s">
        <v>1677</v>
      </c>
      <c r="G60" s="6"/>
      <c r="H60" s="6" t="s">
        <v>1678</v>
      </c>
      <c r="I60" s="6" t="s">
        <v>76</v>
      </c>
      <c r="J60" s="6" t="str">
        <f>"75081"</f>
        <v>75081</v>
      </c>
      <c r="K60" s="6"/>
      <c r="L60" s="6" t="s">
        <v>22</v>
      </c>
      <c r="M60" s="6" t="s">
        <v>1679</v>
      </c>
      <c r="N60" s="19" t="s">
        <v>3249</v>
      </c>
    </row>
    <row r="61" spans="1:14" ht="15" x14ac:dyDescent="0.25">
      <c r="A61" s="9" t="s">
        <v>3049</v>
      </c>
      <c r="B61" s="5" t="s">
        <v>321</v>
      </c>
      <c r="C61" s="5"/>
      <c r="D61" s="5" t="s">
        <v>2555</v>
      </c>
      <c r="E61" s="5" t="s">
        <v>3050</v>
      </c>
      <c r="F61" s="5" t="s">
        <v>3051</v>
      </c>
      <c r="G61" s="5" t="s">
        <v>3052</v>
      </c>
      <c r="H61" s="5" t="s">
        <v>2559</v>
      </c>
      <c r="I61" s="5" t="s">
        <v>86</v>
      </c>
      <c r="J61" s="5" t="str">
        <f>"10022"</f>
        <v>10022</v>
      </c>
      <c r="K61" s="5"/>
      <c r="L61" s="5" t="s">
        <v>22</v>
      </c>
      <c r="M61" s="5" t="s">
        <v>3053</v>
      </c>
      <c r="N61" s="43" t="s">
        <v>3054</v>
      </c>
    </row>
    <row r="62" spans="1:14" ht="15" x14ac:dyDescent="0.25">
      <c r="A62" s="9" t="s">
        <v>833</v>
      </c>
      <c r="B62" s="5" t="s">
        <v>287</v>
      </c>
      <c r="C62" s="5"/>
      <c r="D62" s="5" t="s">
        <v>3153</v>
      </c>
      <c r="E62" s="5" t="s">
        <v>3154</v>
      </c>
      <c r="F62" s="5" t="s">
        <v>3155</v>
      </c>
      <c r="G62" s="5"/>
      <c r="H62" s="5" t="s">
        <v>3156</v>
      </c>
      <c r="I62" s="5" t="s">
        <v>118</v>
      </c>
      <c r="J62" s="5" t="str">
        <f>"49546"</f>
        <v>49546</v>
      </c>
      <c r="K62" s="5"/>
      <c r="L62" s="5" t="s">
        <v>22</v>
      </c>
      <c r="M62" s="5" t="s">
        <v>3157</v>
      </c>
      <c r="N62" s="43" t="s">
        <v>3158</v>
      </c>
    </row>
    <row r="63" spans="1:14" ht="15" x14ac:dyDescent="0.25">
      <c r="A63" s="9" t="s">
        <v>3169</v>
      </c>
      <c r="B63" s="5" t="s">
        <v>287</v>
      </c>
      <c r="C63" s="5"/>
      <c r="D63" s="5" t="s">
        <v>3153</v>
      </c>
      <c r="E63" s="5" t="s">
        <v>3161</v>
      </c>
      <c r="F63" s="5" t="s">
        <v>3155</v>
      </c>
      <c r="G63" s="5"/>
      <c r="H63" s="5" t="s">
        <v>3156</v>
      </c>
      <c r="I63" s="5" t="s">
        <v>118</v>
      </c>
      <c r="J63" s="5" t="str">
        <f>"49546"</f>
        <v>49546</v>
      </c>
      <c r="K63" s="5"/>
      <c r="L63" s="5" t="s">
        <v>22</v>
      </c>
      <c r="M63" s="5" t="s">
        <v>3157</v>
      </c>
      <c r="N63" s="43" t="s">
        <v>3170</v>
      </c>
    </row>
    <row r="64" spans="1:14" ht="15" x14ac:dyDescent="0.25">
      <c r="A64" s="9" t="s">
        <v>287</v>
      </c>
      <c r="B64" s="5" t="s">
        <v>3110</v>
      </c>
      <c r="C64" s="5"/>
      <c r="D64" s="5" t="s">
        <v>3111</v>
      </c>
      <c r="E64" s="5" t="s">
        <v>3112</v>
      </c>
      <c r="F64" s="5" t="s">
        <v>3113</v>
      </c>
      <c r="G64" s="5"/>
      <c r="H64" s="5" t="s">
        <v>3114</v>
      </c>
      <c r="I64" s="5" t="s">
        <v>86</v>
      </c>
      <c r="J64" s="5" t="str">
        <f>"10977"</f>
        <v>10977</v>
      </c>
      <c r="K64" s="5"/>
      <c r="L64" s="5" t="s">
        <v>22</v>
      </c>
      <c r="M64" s="5" t="s">
        <v>3264</v>
      </c>
      <c r="N64" s="43" t="s">
        <v>3115</v>
      </c>
    </row>
    <row r="65" spans="1:14" ht="15" x14ac:dyDescent="0.25">
      <c r="A65" s="9" t="s">
        <v>691</v>
      </c>
      <c r="B65" s="5" t="s">
        <v>3003</v>
      </c>
      <c r="C65" s="5"/>
      <c r="D65" s="5" t="s">
        <v>3004</v>
      </c>
      <c r="E65" s="5" t="s">
        <v>3005</v>
      </c>
      <c r="F65" s="5" t="s">
        <v>3006</v>
      </c>
      <c r="G65" s="5"/>
      <c r="H65" s="5" t="s">
        <v>1189</v>
      </c>
      <c r="I65" s="5" t="s">
        <v>734</v>
      </c>
      <c r="J65" s="5" t="str">
        <f>"73169-6900"</f>
        <v>73169-6900</v>
      </c>
      <c r="K65" s="5"/>
      <c r="L65" s="5" t="s">
        <v>22</v>
      </c>
      <c r="M65" s="5" t="s">
        <v>3007</v>
      </c>
      <c r="N65" s="43" t="s">
        <v>3008</v>
      </c>
    </row>
    <row r="66" spans="1:14" ht="15" x14ac:dyDescent="0.25">
      <c r="A66" s="9" t="s">
        <v>603</v>
      </c>
      <c r="B66" s="5" t="s">
        <v>3055</v>
      </c>
      <c r="C66" s="5"/>
      <c r="D66" s="5" t="s">
        <v>2486</v>
      </c>
      <c r="E66" s="5" t="s">
        <v>3056</v>
      </c>
      <c r="F66" s="5" t="s">
        <v>2487</v>
      </c>
      <c r="G66" s="5"/>
      <c r="H66" s="5" t="s">
        <v>1638</v>
      </c>
      <c r="I66" s="5" t="s">
        <v>486</v>
      </c>
      <c r="J66" s="5" t="str">
        <f>"85004"</f>
        <v>85004</v>
      </c>
      <c r="K66" s="5"/>
      <c r="L66" s="5" t="s">
        <v>22</v>
      </c>
      <c r="M66" s="5" t="s">
        <v>3057</v>
      </c>
      <c r="N66" s="43" t="s">
        <v>3058</v>
      </c>
    </row>
    <row r="67" spans="1:14" ht="15" x14ac:dyDescent="0.25">
      <c r="A67" s="9" t="s">
        <v>3182</v>
      </c>
      <c r="B67" s="5" t="s">
        <v>3183</v>
      </c>
      <c r="C67" s="5"/>
      <c r="D67" s="5" t="s">
        <v>3184</v>
      </c>
      <c r="E67" s="5" t="s">
        <v>3185</v>
      </c>
      <c r="F67" s="5" t="s">
        <v>3186</v>
      </c>
      <c r="G67" s="5"/>
      <c r="H67" s="5" t="s">
        <v>3187</v>
      </c>
      <c r="I67" s="5" t="s">
        <v>128</v>
      </c>
      <c r="J67" s="5" t="str">
        <f>"95762-9644"</f>
        <v>95762-9644</v>
      </c>
      <c r="K67" s="5"/>
      <c r="L67" s="5" t="s">
        <v>22</v>
      </c>
      <c r="M67" s="5" t="s">
        <v>3188</v>
      </c>
      <c r="N67" s="43" t="s">
        <v>3189</v>
      </c>
    </row>
    <row r="68" spans="1:14" ht="15" x14ac:dyDescent="0.25">
      <c r="A68" s="9" t="s">
        <v>3069</v>
      </c>
      <c r="B68" s="5" t="s">
        <v>3070</v>
      </c>
      <c r="C68" s="5"/>
      <c r="D68" s="5" t="s">
        <v>3071</v>
      </c>
      <c r="E68" s="5" t="s">
        <v>3072</v>
      </c>
      <c r="F68" s="5" t="s">
        <v>3073</v>
      </c>
      <c r="G68" s="5"/>
      <c r="H68" s="5" t="s">
        <v>2285</v>
      </c>
      <c r="I68" s="5" t="s">
        <v>76</v>
      </c>
      <c r="J68" s="5" t="str">
        <f>"75013"</f>
        <v>75013</v>
      </c>
      <c r="K68" s="5"/>
      <c r="L68" s="5" t="s">
        <v>22</v>
      </c>
      <c r="M68" s="5" t="s">
        <v>3074</v>
      </c>
      <c r="N68" s="43" t="s">
        <v>3075</v>
      </c>
    </row>
  </sheetData>
  <sortState ref="A2:N70">
    <sortCondition ref="D2:D70"/>
  </sortState>
  <hyperlinks>
    <hyperlink ref="N60" r:id="rId1"/>
    <hyperlink ref="N12" r:id="rId2"/>
    <hyperlink ref="N16" r:id="rId3"/>
    <hyperlink ref="N23" r:id="rId4"/>
    <hyperlink ref="N5" r:id="rId5"/>
    <hyperlink ref="N34" r:id="rId6"/>
    <hyperlink ref="N56" r:id="rId7"/>
  </hyperlinks>
  <printOptions gridLines="1"/>
  <pageMargins left="0.7" right="0.7" top="0.75" bottom="0.75" header="0.3" footer="0.3"/>
  <pageSetup paperSize="5" scale="77" fitToHeight="0" orientation="landscape" r:id="rId8"/>
  <headerFooter>
    <oddHeader>&amp;C&amp;14GHSA 2017 Annual Meeting
&amp;"-,Bold"&amp;K000000Exhibitors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Attendees 9-2017</vt:lpstr>
      <vt:lpstr>Exhibitors 9-2017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Maxwell</dc:creator>
  <cp:lastModifiedBy>Kara Macek</cp:lastModifiedBy>
  <cp:lastPrinted>2017-09-06T18:50:51Z</cp:lastPrinted>
  <dcterms:created xsi:type="dcterms:W3CDTF">2017-08-29T13:50:01Z</dcterms:created>
  <dcterms:modified xsi:type="dcterms:W3CDTF">2017-09-26T15:55:17Z</dcterms:modified>
</cp:coreProperties>
</file>